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ricultura\Desktop\Coleta Lixo\"/>
    </mc:Choice>
  </mc:AlternateContent>
  <bookViews>
    <workbookView xWindow="0" yWindow="0" windowWidth="23040" windowHeight="8496" tabRatio="802"/>
  </bookViews>
  <sheets>
    <sheet name="Resumo" sheetId="19" r:id="rId1"/>
    <sheet name="1. Coleta Orgânica e Seletiva" sheetId="2" r:id="rId2"/>
    <sheet name="2. Destino Final" sheetId="32" r:id="rId3"/>
    <sheet name="3.Enc Sociais" sheetId="8" r:id="rId4"/>
    <sheet name="4.BDI" sheetId="4" r:id="rId5"/>
    <sheet name="4.1.BDI Aterro" sheetId="42" r:id="rId6"/>
    <sheet name="5. Ton" sheetId="34" r:id="rId7"/>
    <sheet name="6. Horários" sheetId="11" r:id="rId8"/>
    <sheet name="7. Roteiros" sheetId="37" r:id="rId9"/>
    <sheet name="8. Depr" sheetId="6" r:id="rId10"/>
    <sheet name="9. Rem capital" sheetId="7" r:id="rId11"/>
    <sheet name="10. Dimens" sheetId="9" r:id="rId12"/>
  </sheets>
  <definedNames>
    <definedName name="_LO25">#REF!</definedName>
    <definedName name="AbaDeprec">'8. Depr'!$A$1</definedName>
    <definedName name="AbaRemun" localSheetId="2">#REF!</definedName>
    <definedName name="AbaRemun" localSheetId="6">#REF!</definedName>
    <definedName name="AbaRemun" localSheetId="7">#REF!</definedName>
    <definedName name="AbaRemun" localSheetId="0">#REF!</definedName>
    <definedName name="AbaRemun">'9. Rem capital'!$A$1</definedName>
    <definedName name="_xlnm.Print_Area" localSheetId="1">'1. Coleta Orgânica e Seletiva'!$A$1:$F$292</definedName>
    <definedName name="_xlnm.Print_Area" localSheetId="2">'2. Destino Final'!$A$1:$F$37</definedName>
    <definedName name="_xlnm.Print_Area" localSheetId="3">'3.Enc Sociais'!$A$1:$C$40</definedName>
    <definedName name="Horário" localSheetId="5">#REF!</definedName>
    <definedName name="Horário">#REF!</definedName>
    <definedName name="_xlnm.Print_Titles" localSheetId="1">'1. Coleta Orgânica e Seletiva'!$1:$8</definedName>
    <definedName name="_xlnm.Print_Titles" localSheetId="2">'2. Destino Final'!#REF!</definedName>
  </definedNames>
  <calcPr calcId="162913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3" i="2" l="1"/>
  <c r="D84" i="2" l="1"/>
  <c r="D159" i="2" l="1"/>
  <c r="C159" i="2"/>
  <c r="D158" i="2"/>
  <c r="E158" i="2" s="1"/>
  <c r="D157" i="2"/>
  <c r="E157" i="2" s="1"/>
  <c r="D156" i="2"/>
  <c r="E156" i="2" s="1"/>
  <c r="D155" i="2"/>
  <c r="E155" i="2" s="1"/>
  <c r="D154" i="2"/>
  <c r="E154" i="2" s="1"/>
  <c r="D153" i="2"/>
  <c r="C153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59" i="2" l="1"/>
  <c r="E153" i="2"/>
  <c r="C148" i="2" l="1"/>
  <c r="D120" i="2"/>
  <c r="D119" i="2"/>
  <c r="C113" i="2"/>
  <c r="I6" i="11"/>
  <c r="I5" i="11"/>
  <c r="D114" i="2" l="1"/>
  <c r="T14" i="37" l="1"/>
  <c r="T22" i="37" s="1"/>
  <c r="T26" i="37" s="1"/>
  <c r="AC18" i="37" s="1"/>
  <c r="C108" i="2" l="1"/>
  <c r="E101" i="2"/>
  <c r="C64" i="2" l="1"/>
  <c r="C107" i="2" s="1"/>
  <c r="M13" i="37" l="1"/>
  <c r="F13" i="37"/>
  <c r="F21" i="37" s="1"/>
  <c r="F24" i="37" s="1"/>
  <c r="AC7" i="37" s="1"/>
  <c r="AC20" i="37" l="1"/>
  <c r="B18" i="34" l="1"/>
  <c r="B21" i="34" s="1"/>
  <c r="B23" i="34" l="1"/>
  <c r="C19" i="32"/>
  <c r="B24" i="34"/>
  <c r="B25" i="34" s="1"/>
  <c r="M21" i="37" l="1"/>
  <c r="M24" i="37" l="1"/>
  <c r="AC9" i="37" s="1"/>
  <c r="AC11" i="37" s="1"/>
  <c r="C126" i="2"/>
  <c r="C127" i="2" s="1"/>
  <c r="E127" i="2" s="1"/>
  <c r="C15" i="9" l="1"/>
  <c r="C16" i="9" s="1"/>
  <c r="C16" i="42" l="1"/>
  <c r="C21" i="42" s="1"/>
  <c r="C29" i="32" s="1"/>
  <c r="F14" i="42"/>
  <c r="E14" i="42"/>
  <c r="D14" i="42"/>
  <c r="C16" i="4" l="1"/>
  <c r="G23" i="11"/>
  <c r="G26" i="11" s="1"/>
  <c r="G28" i="11" s="1"/>
  <c r="G30" i="11" s="1"/>
  <c r="E19" i="32" l="1"/>
  <c r="F20" i="32" s="1"/>
  <c r="F22" i="32" s="1"/>
  <c r="E11" i="32" s="1"/>
  <c r="A12" i="32"/>
  <c r="A11" i="32"/>
  <c r="F25" i="32" l="1"/>
  <c r="D29" i="32" l="1"/>
  <c r="C266" i="2" l="1"/>
  <c r="A36" i="2" l="1"/>
  <c r="E257" i="2"/>
  <c r="E258" i="2"/>
  <c r="F259" i="2" l="1"/>
  <c r="E36" i="2" s="1"/>
  <c r="D221" i="2" l="1"/>
  <c r="C22" i="9" l="1"/>
  <c r="A25" i="2" l="1"/>
  <c r="E126" i="2"/>
  <c r="G11" i="11" l="1"/>
  <c r="G14" i="11" s="1"/>
  <c r="G16" i="11" l="1"/>
  <c r="G18" i="11" s="1"/>
  <c r="B51" i="2" s="1"/>
  <c r="E80" i="2" l="1"/>
  <c r="E149" i="2"/>
  <c r="E161" i="2" l="1"/>
  <c r="E122" i="2"/>
  <c r="E182" i="2" l="1"/>
  <c r="E199" i="2" s="1"/>
  <c r="E207" i="2" s="1"/>
  <c r="E268" i="2" s="1"/>
  <c r="C204" i="2" l="1"/>
  <c r="C203" i="2"/>
  <c r="C205" i="2"/>
  <c r="A38" i="2" l="1"/>
  <c r="A37" i="2"/>
  <c r="A35" i="2"/>
  <c r="A27" i="2"/>
  <c r="A26" i="2"/>
  <c r="A17" i="2"/>
  <c r="C18" i="9" l="1"/>
  <c r="C23" i="9" s="1"/>
  <c r="C25" i="9" s="1"/>
  <c r="C172" i="2"/>
  <c r="C177" i="2"/>
  <c r="E45" i="2" l="1"/>
  <c r="C120" i="2" s="1"/>
  <c r="E120" i="2" s="1"/>
  <c r="E44" i="2"/>
  <c r="C160" i="2" s="1"/>
  <c r="E49" i="2"/>
  <c r="C119" i="2" l="1"/>
  <c r="C121" i="2" s="1"/>
  <c r="E121" i="2" s="1"/>
  <c r="C114" i="2"/>
  <c r="E114" i="2" s="1"/>
  <c r="C198" i="2"/>
  <c r="C192" i="2"/>
  <c r="D223" i="2"/>
  <c r="D219" i="2"/>
  <c r="D217" i="2"/>
  <c r="D215" i="2"/>
  <c r="D148" i="2" l="1"/>
  <c r="D58" i="2"/>
  <c r="E58" i="2" s="1"/>
  <c r="D57" i="2"/>
  <c r="E57" i="2" s="1"/>
  <c r="D71" i="2"/>
  <c r="E71" i="2" s="1"/>
  <c r="C90" i="2"/>
  <c r="D59" i="2" l="1"/>
  <c r="E59" i="2" s="1"/>
  <c r="C93" i="2"/>
  <c r="D72" i="2"/>
  <c r="E72" i="2" s="1"/>
  <c r="D73" i="2" s="1"/>
  <c r="E73" i="2" s="1"/>
  <c r="D85" i="2" l="1"/>
  <c r="A34" i="2"/>
  <c r="A33" i="2"/>
  <c r="A32" i="2"/>
  <c r="A31" i="2"/>
  <c r="A30" i="2"/>
  <c r="A29" i="2"/>
  <c r="A28" i="2"/>
  <c r="A24" i="2"/>
  <c r="A23" i="2"/>
  <c r="A22" i="2"/>
  <c r="A21" i="2"/>
  <c r="A20" i="2"/>
  <c r="A19" i="2"/>
  <c r="A18" i="2"/>
  <c r="E65" i="2"/>
  <c r="E128" i="2" s="1"/>
  <c r="F128" i="2" s="1"/>
  <c r="E25" i="2" s="1"/>
  <c r="D186" i="2"/>
  <c r="C21" i="4"/>
  <c r="F14" i="4"/>
  <c r="E14" i="4"/>
  <c r="D14" i="4"/>
  <c r="C18" i="8"/>
  <c r="C96" i="2"/>
  <c r="C87" i="2"/>
  <c r="D90" i="2"/>
  <c r="E90" i="2" s="1"/>
  <c r="E69" i="2"/>
  <c r="D108" i="2" s="1"/>
  <c r="C236" i="2"/>
  <c r="E236" i="2" s="1"/>
  <c r="D213" i="2"/>
  <c r="D224" i="2" s="1"/>
  <c r="E169" i="2"/>
  <c r="C188" i="2" s="1"/>
  <c r="D191" i="2"/>
  <c r="C178" i="2"/>
  <c r="C173" i="2"/>
  <c r="E266" i="2"/>
  <c r="D267" i="2" s="1"/>
  <c r="E267" i="2" s="1"/>
  <c r="C174" i="2"/>
  <c r="C191" i="2" s="1"/>
  <c r="A43" i="2"/>
  <c r="A44" i="2"/>
  <c r="A45" i="2"/>
  <c r="A49" i="2"/>
  <c r="E56" i="2"/>
  <c r="D107" i="2" s="1"/>
  <c r="A113" i="2"/>
  <c r="E234" i="2"/>
  <c r="E205" i="2"/>
  <c r="E204" i="2"/>
  <c r="E247" i="2"/>
  <c r="E248" i="2"/>
  <c r="E249" i="2"/>
  <c r="E29" i="32" l="1"/>
  <c r="F30" i="32" s="1"/>
  <c r="F32" i="32" s="1"/>
  <c r="D75" i="2"/>
  <c r="E75" i="2" s="1"/>
  <c r="E76" i="2" s="1"/>
  <c r="E108" i="2" s="1"/>
  <c r="C277" i="2"/>
  <c r="D172" i="2"/>
  <c r="E172" i="2" s="1"/>
  <c r="E84" i="2"/>
  <c r="D88" i="2"/>
  <c r="E88" i="2" s="1"/>
  <c r="D91" i="2"/>
  <c r="E91" i="2" s="1"/>
  <c r="D93" i="2"/>
  <c r="E93" i="2" s="1"/>
  <c r="D87" i="2"/>
  <c r="E87" i="2" s="1"/>
  <c r="F250" i="2"/>
  <c r="F252" i="2" s="1"/>
  <c r="E35" i="2" s="1"/>
  <c r="E174" i="2"/>
  <c r="C193" i="2" s="1"/>
  <c r="E113" i="2"/>
  <c r="F115" i="2" s="1"/>
  <c r="E46" i="2"/>
  <c r="E191" i="2"/>
  <c r="E119" i="2"/>
  <c r="F122" i="2" s="1"/>
  <c r="D60" i="2"/>
  <c r="E264" i="2"/>
  <c r="D265" i="2" s="1"/>
  <c r="E265" i="2" s="1"/>
  <c r="E186" i="2"/>
  <c r="D237" i="2"/>
  <c r="E237" i="2" s="1"/>
  <c r="D238" i="2" s="1"/>
  <c r="D160" i="2"/>
  <c r="F268" i="2" l="1"/>
  <c r="F270" i="2" s="1"/>
  <c r="E37" i="2" s="1"/>
  <c r="E60" i="2"/>
  <c r="E61" i="2" s="1"/>
  <c r="E12" i="32"/>
  <c r="F35" i="32"/>
  <c r="C36" i="8"/>
  <c r="D173" i="2"/>
  <c r="E173" i="2" s="1"/>
  <c r="D203" i="2"/>
  <c r="C26" i="8"/>
  <c r="C35" i="8" s="1"/>
  <c r="D94" i="2"/>
  <c r="E94" i="2" s="1"/>
  <c r="D96" i="2" s="1"/>
  <c r="E96" i="2" s="1"/>
  <c r="E23" i="2"/>
  <c r="E160" i="2"/>
  <c r="F161" i="2" s="1"/>
  <c r="E148" i="2"/>
  <c r="F149" i="2" s="1"/>
  <c r="D177" i="2"/>
  <c r="E177" i="2" s="1"/>
  <c r="D178" i="2" s="1"/>
  <c r="E178" i="2" s="1"/>
  <c r="D179" i="2" s="1"/>
  <c r="D77" i="2"/>
  <c r="D62" i="2" l="1"/>
  <c r="E107" i="2"/>
  <c r="F109" i="2" s="1"/>
  <c r="E22" i="2" s="1"/>
  <c r="E13" i="32"/>
  <c r="E36" i="32"/>
  <c r="E179" i="2"/>
  <c r="E180" i="2" s="1"/>
  <c r="D181" i="2" s="1"/>
  <c r="E181" i="2" s="1"/>
  <c r="F182" i="2" s="1"/>
  <c r="E29" i="2" s="1"/>
  <c r="C189" i="2"/>
  <c r="D190" i="2" s="1"/>
  <c r="E190" i="2" s="1"/>
  <c r="E203" i="2"/>
  <c r="D206" i="2" s="1"/>
  <c r="E206" i="2" s="1"/>
  <c r="F207" i="2" s="1"/>
  <c r="E31" i="2" s="1"/>
  <c r="E24" i="2"/>
  <c r="C30" i="8"/>
  <c r="C33" i="8" s="1"/>
  <c r="C37" i="8"/>
  <c r="C194" i="2"/>
  <c r="D195" i="2" s="1"/>
  <c r="E195" i="2" s="1"/>
  <c r="F163" i="2"/>
  <c r="E26" i="2" s="1"/>
  <c r="E97" i="2"/>
  <c r="D98" i="2" s="1"/>
  <c r="F11" i="32" l="1"/>
  <c r="C5" i="19"/>
  <c r="F12" i="32"/>
  <c r="E196" i="2"/>
  <c r="E197" i="2" s="1"/>
  <c r="D198" i="2" s="1"/>
  <c r="E198" i="2" s="1"/>
  <c r="F199" i="2" s="1"/>
  <c r="C38" i="8"/>
  <c r="F13" i="32" l="1"/>
  <c r="E30" i="2"/>
  <c r="C77" i="2"/>
  <c r="E77" i="2" s="1"/>
  <c r="E78" i="2" s="1"/>
  <c r="D79" i="2" s="1"/>
  <c r="E79" i="2" s="1"/>
  <c r="F80" i="2" s="1"/>
  <c r="E19" i="2"/>
  <c r="C62" i="2"/>
  <c r="E62" i="2" s="1"/>
  <c r="E63" i="2" s="1"/>
  <c r="D64" i="2" s="1"/>
  <c r="E64" i="2" s="1"/>
  <c r="F65" i="2" s="1"/>
  <c r="C98" i="2"/>
  <c r="E98" i="2" s="1"/>
  <c r="E99" i="2" s="1"/>
  <c r="D100" i="2" s="1"/>
  <c r="E100" i="2" s="1"/>
  <c r="F101" i="2" s="1"/>
  <c r="F130" i="2" l="1"/>
  <c r="E18" i="2"/>
  <c r="E20" i="2"/>
  <c r="E21" i="2"/>
  <c r="E17" i="2" l="1"/>
  <c r="AC12" i="37" l="1"/>
  <c r="AC21" i="37" l="1"/>
  <c r="B210" i="2" s="1"/>
  <c r="C213" i="2" s="1"/>
  <c r="C229" i="2" l="1"/>
  <c r="E229" i="2" s="1"/>
  <c r="F230" i="2" s="1"/>
  <c r="E33" i="2" s="1"/>
  <c r="E213" i="2"/>
  <c r="C223" i="2"/>
  <c r="E223" i="2" s="1"/>
  <c r="C215" i="2"/>
  <c r="C221" i="2" s="1"/>
  <c r="E221" i="2" s="1"/>
  <c r="C219" i="2"/>
  <c r="E219" i="2" s="1"/>
  <c r="C217" i="2"/>
  <c r="E217" i="2" s="1"/>
  <c r="C238" i="2"/>
  <c r="E238" i="2" s="1"/>
  <c r="F239" i="2" s="1"/>
  <c r="E34" i="2" s="1"/>
  <c r="E215" i="2" l="1"/>
  <c r="F225" i="2" s="1"/>
  <c r="E32" i="2" s="1"/>
  <c r="F242" i="2" l="1"/>
  <c r="F272" i="2" s="1"/>
  <c r="E28" i="2"/>
  <c r="E27" i="2" l="1"/>
  <c r="D277" i="2"/>
  <c r="E277" i="2" s="1"/>
  <c r="F278" i="2" s="1"/>
  <c r="F280" i="2" s="1"/>
  <c r="E38" i="2" s="1"/>
  <c r="E39" i="2" l="1"/>
  <c r="F283" i="2"/>
  <c r="F288" i="2" l="1"/>
  <c r="C4" i="19"/>
  <c r="F22" i="2"/>
  <c r="F30" i="2"/>
  <c r="F25" i="2"/>
  <c r="F29" i="2"/>
  <c r="F35" i="2"/>
  <c r="F21" i="2"/>
  <c r="F31" i="2"/>
  <c r="F26" i="2"/>
  <c r="F24" i="2"/>
  <c r="F23" i="2"/>
  <c r="F36" i="2"/>
  <c r="F20" i="2"/>
  <c r="F17" i="2"/>
  <c r="F18" i="2"/>
  <c r="F19" i="2"/>
  <c r="F37" i="2"/>
  <c r="F34" i="2"/>
  <c r="F33" i="2"/>
  <c r="F32" i="2"/>
  <c r="F27" i="2"/>
  <c r="F28" i="2"/>
  <c r="F38" i="2"/>
  <c r="F39" i="2" l="1"/>
  <c r="C7" i="19" l="1"/>
</calcChain>
</file>

<file path=xl/comments1.xml><?xml version="1.0" encoding="utf-8"?>
<comments xmlns="http://schemas.openxmlformats.org/spreadsheetml/2006/main">
  <authors>
    <author>Clauber Bridi</author>
  </authors>
  <commentList>
    <comment ref="D135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D136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D139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D140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D141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D142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D143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D144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D145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D146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D147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D158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</commentList>
</comments>
</file>

<file path=xl/sharedStrings.xml><?xml version="1.0" encoding="utf-8"?>
<sst xmlns="http://schemas.openxmlformats.org/spreadsheetml/2006/main" count="882" uniqueCount="434">
  <si>
    <t>hora</t>
  </si>
  <si>
    <t>Adicional de Insalubridade</t>
  </si>
  <si>
    <t>%</t>
  </si>
  <si>
    <t>Soma</t>
  </si>
  <si>
    <t>Encargos Sociais</t>
  </si>
  <si>
    <t>Total do Efetivo</t>
  </si>
  <si>
    <t>homem</t>
  </si>
  <si>
    <t>Adicional Noturno</t>
  </si>
  <si>
    <t>mês</t>
  </si>
  <si>
    <t>vale</t>
  </si>
  <si>
    <t>unidade</t>
  </si>
  <si>
    <t>Colete reflexivo</t>
  </si>
  <si>
    <t>IPVA</t>
  </si>
  <si>
    <t>Seguro contra terceiros</t>
  </si>
  <si>
    <t>Impostos e seguros mensais</t>
  </si>
  <si>
    <t>Custo de óleo diesel / km rodado</t>
  </si>
  <si>
    <t>km/l</t>
  </si>
  <si>
    <t>Custo mensal com óleo diesel</t>
  </si>
  <si>
    <t>km</t>
  </si>
  <si>
    <t>l/1.000 km</t>
  </si>
  <si>
    <t>Custo mensal com óleo do motor</t>
  </si>
  <si>
    <t>Custo mensal com óleo da transmissão</t>
  </si>
  <si>
    <t>Custo mensal com óleo hidráulico</t>
  </si>
  <si>
    <t>Custo de graxa /1.000 km rodados</t>
  </si>
  <si>
    <t>kg/1.000 km</t>
  </si>
  <si>
    <t>Custo mensal com graxa</t>
  </si>
  <si>
    <t>km/jogo</t>
  </si>
  <si>
    <t>toneladas</t>
  </si>
  <si>
    <t>Pá de Concha</t>
  </si>
  <si>
    <t>Vassoura</t>
  </si>
  <si>
    <t>Calça</t>
  </si>
  <si>
    <t>Camiseta</t>
  </si>
  <si>
    <t>Luva de proteção</t>
  </si>
  <si>
    <t>R$/tonelada</t>
  </si>
  <si>
    <t>R$</t>
  </si>
  <si>
    <t>Horas Extras (100%)</t>
  </si>
  <si>
    <t>Horas Extras (50%)</t>
  </si>
  <si>
    <t>Benefícios e despesas indiretas</t>
  </si>
  <si>
    <t>Custo mensal com manutenção</t>
  </si>
  <si>
    <t>Custo (R$/mês)</t>
  </si>
  <si>
    <t>Mão-de-obra</t>
  </si>
  <si>
    <t>Quantidade</t>
  </si>
  <si>
    <t>INSS</t>
  </si>
  <si>
    <t>FGTS</t>
  </si>
  <si>
    <t>Planilha de Composição de Custos</t>
  </si>
  <si>
    <t>Motorista</t>
  </si>
  <si>
    <t>2. Uniformes e Equipamentos de Proteção Individual</t>
  </si>
  <si>
    <t>3.1.1. Depreciação</t>
  </si>
  <si>
    <t>1. Mão-de-obra</t>
  </si>
  <si>
    <t>par</t>
  </si>
  <si>
    <t>frasco 120g</t>
  </si>
  <si>
    <t>Depreciação mensal veículos coletores</t>
  </si>
  <si>
    <t>3.1.3. Impostos e Seguros</t>
  </si>
  <si>
    <t>3.1.4. Consumos</t>
  </si>
  <si>
    <t>3.1.5. Manutenção</t>
  </si>
  <si>
    <t>3. Veículos e Equipamentos</t>
  </si>
  <si>
    <t>Custo mensal com pneus</t>
  </si>
  <si>
    <t>Veículos e Equipamentos</t>
  </si>
  <si>
    <t>cj</t>
  </si>
  <si>
    <t>Total de mão-de-obra (postos de trabalho)</t>
  </si>
  <si>
    <t>Custo mensal com implantação</t>
  </si>
  <si>
    <t>3.1.6. Pneus</t>
  </si>
  <si>
    <t>Protetor solar FPS 30</t>
  </si>
  <si>
    <t>Discriminação</t>
  </si>
  <si>
    <t>Unidade</t>
  </si>
  <si>
    <t>Subtotal</t>
  </si>
  <si>
    <r>
      <t xml:space="preserve">Total </t>
    </r>
    <r>
      <rPr>
        <b/>
        <u/>
        <sz val="9"/>
        <rFont val="Arial"/>
        <family val="2"/>
      </rPr>
      <t>(R$)</t>
    </r>
  </si>
  <si>
    <t>Jaqueta com reflexivo (NBR 15.292)</t>
  </si>
  <si>
    <t>Capa de chuva amarela com reflexivo</t>
  </si>
  <si>
    <t>PREÇO POR TONELADA COLETADA:  [A/B]</t>
  </si>
  <si>
    <t>Custo de recapagem</t>
  </si>
  <si>
    <t>Recipiente térmico para água (5L)</t>
  </si>
  <si>
    <t>Total por Coletor</t>
  </si>
  <si>
    <t>Coletor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</si>
  <si>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</si>
  <si>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</si>
  <si>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</si>
  <si>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</si>
  <si>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</si>
  <si>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</si>
  <si>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</si>
  <si>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</si>
  <si>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Tributos - ISS</t>
  </si>
  <si>
    <t>T</t>
  </si>
  <si>
    <t>Fórmula para o cálculo do BDI:</t>
  </si>
  <si>
    <t>{[(1+AC+SRG) x (1+L) x (1+DF)] / (1-T)} -1</t>
  </si>
  <si>
    <t>Resultado do cálculo do BDI:</t>
  </si>
  <si>
    <t>Vale Transporte</t>
  </si>
  <si>
    <t>Dias Trabalhados por mês</t>
  </si>
  <si>
    <t>dia</t>
  </si>
  <si>
    <t>Custo Mensal com Mão-de-obra (R$/mês)</t>
  </si>
  <si>
    <t>Meia de algodão com cano alto</t>
  </si>
  <si>
    <r>
      <t xml:space="preserve">Custo jg. compl. + </t>
    </r>
    <r>
      <rPr>
        <sz val="10"/>
        <color indexed="10"/>
        <rFont val="Arial"/>
        <family val="2"/>
      </rPr>
      <t>X</t>
    </r>
    <r>
      <rPr>
        <sz val="10"/>
        <rFont val="Arial"/>
        <family val="2"/>
      </rPr>
      <t xml:space="preserve"> recap./ km rodado</t>
    </r>
  </si>
  <si>
    <t>Quantitativos</t>
  </si>
  <si>
    <t>horas trabalhadas</t>
  </si>
  <si>
    <t>Horas Extras Noturnas (100%)</t>
  </si>
  <si>
    <t>hora contabilizada</t>
  </si>
  <si>
    <t>Vida útil do chassis</t>
  </si>
  <si>
    <t>anos</t>
  </si>
  <si>
    <t>Depreciação do chassis</t>
  </si>
  <si>
    <t>Custo de aquisição do chassis</t>
  </si>
  <si>
    <t>i = taxa de juros do mercado (sugere-se adotar a taxa SELIC)</t>
  </si>
  <si>
    <t>n = vida útil do bem em anos</t>
  </si>
  <si>
    <t>Custo do chassis</t>
  </si>
  <si>
    <t>3.1.2. Remuneração do Capital</t>
  </si>
  <si>
    <t>Im = investimento médio</t>
  </si>
  <si>
    <t>Investimento médio total do chassis</t>
  </si>
  <si>
    <t>Remuneração mensal de capital do chassis</t>
  </si>
  <si>
    <t>Custo de manutenção dos caminhões</t>
  </si>
  <si>
    <t>Quilometragem mensal</t>
  </si>
  <si>
    <t>R$/km rodado</t>
  </si>
  <si>
    <t>Número de recapagens por pneu</t>
  </si>
  <si>
    <t>Código</t>
  </si>
  <si>
    <t>Descrição</t>
  </si>
  <si>
    <t>Valor</t>
  </si>
  <si>
    <t>A1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</si>
  <si>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</si>
  <si>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</si>
  <si>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</si>
  <si>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</si>
  <si>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</si>
  <si>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</si>
  <si>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</si>
  <si>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</si>
  <si>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</si>
  <si>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</si>
  <si>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</si>
  <si>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</si>
  <si>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</si>
  <si>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A</t>
  </si>
  <si>
    <t>SOMA GRUPO A</t>
  </si>
  <si>
    <t>B1</t>
  </si>
  <si>
    <t>Férias gozadas</t>
  </si>
  <si>
    <t>B2</t>
  </si>
  <si>
    <t>13º salário</t>
  </si>
  <si>
    <t>B4</t>
  </si>
  <si>
    <t>Licença Paternidade</t>
  </si>
  <si>
    <t>B5</t>
  </si>
  <si>
    <t>Faltas justificadas</t>
  </si>
  <si>
    <t>B6</t>
  </si>
  <si>
    <t>Auxilio acidente de trabalho</t>
  </si>
  <si>
    <t>Auxilio doença</t>
  </si>
  <si>
    <t>B</t>
  </si>
  <si>
    <t>SOMA GRUPO B</t>
  </si>
  <si>
    <t>C1</t>
  </si>
  <si>
    <t>Aviso prévio indenizado</t>
  </si>
  <si>
    <t>C3</t>
  </si>
  <si>
    <t xml:space="preserve">Férias indenizadas </t>
  </si>
  <si>
    <t>C4</t>
  </si>
  <si>
    <t>Férias indenizadas s/ aviso previo inden.</t>
  </si>
  <si>
    <t>C5</t>
  </si>
  <si>
    <t>Depósito rescisão sem justa causa</t>
  </si>
  <si>
    <t>Indenização adicional</t>
  </si>
  <si>
    <t>C</t>
  </si>
  <si>
    <t>SOMA GRUPO C</t>
  </si>
  <si>
    <t>D1</t>
  </si>
  <si>
    <t>Reincidência de Grupo A sobre Grupo B</t>
  </si>
  <si>
    <t>D2</t>
  </si>
  <si>
    <t>D</t>
  </si>
  <si>
    <t>SOMA GRUPO D</t>
  </si>
  <si>
    <t>SOMA (A+B+C+D)</t>
  </si>
  <si>
    <t>1° Quartil</t>
  </si>
  <si>
    <t>Médio</t>
  </si>
  <si>
    <t>3° Quartil</t>
  </si>
  <si>
    <t>DU</t>
  </si>
  <si>
    <t>Licenciamento e Seguro obrigatório</t>
  </si>
  <si>
    <t>Fator de utilização</t>
  </si>
  <si>
    <t>Fator de utilização (FU)</t>
  </si>
  <si>
    <t>2.1. Uniformes e EPIs para Coletor</t>
  </si>
  <si>
    <t>2.2. Uniformes e EPIs para demais categorias</t>
  </si>
  <si>
    <t>Custo Mensal com Uniformes e EPIs (R$/mês)</t>
  </si>
  <si>
    <t>Descrição do Item</t>
  </si>
  <si>
    <t>Orçamento Sintético</t>
  </si>
  <si>
    <t>Orientações para preenchimento:</t>
  </si>
  <si>
    <t>2. Preencher somente células em amarelo</t>
  </si>
  <si>
    <t>Excluir esta linha caso a contratação seja por preço global mensal</t>
  </si>
  <si>
    <t>Idade do veículo (ano)</t>
  </si>
  <si>
    <t>Idade do veículo</t>
  </si>
  <si>
    <t>Valor do veículo proposto (V0)</t>
  </si>
  <si>
    <t>Valor do compactador proposto (V0)</t>
  </si>
  <si>
    <t>Taxa de juros anual nominal</t>
  </si>
  <si>
    <t>Piso da categoria</t>
  </si>
  <si>
    <t>Base de cálculo da Insalubridade</t>
  </si>
  <si>
    <t>Horas Extras Noturnas (50%)</t>
  </si>
  <si>
    <t>Excluir esta linha caso a contratação não tenha previsão de horas extras explícita no edital</t>
  </si>
  <si>
    <t>Descanso Semanal Remunerado (DSR) - hora extra</t>
  </si>
  <si>
    <t>C2</t>
  </si>
  <si>
    <t>B3</t>
  </si>
  <si>
    <t xml:space="preserve">Quantidade média de resíduos coletados por mês: </t>
  </si>
  <si>
    <t>Custo Mensal com Monitoramento da Frota (R$/mês)</t>
  </si>
  <si>
    <t>Implantação dos equipamentos de monitoramento</t>
  </si>
  <si>
    <t>Manutenção dos equipamentos de monitoramento</t>
  </si>
  <si>
    <t>Custo Mensal com Veículos e Equipamentos (R$/mês)</t>
  </si>
  <si>
    <t>Custo Mensal com Ferramentas e Materiais de Consumo (R$/mês)</t>
  </si>
  <si>
    <t>CUSTO TOTAL MENSAL COM DESPESAS OPERACIONAIS (R$/mês)</t>
  </si>
  <si>
    <t>PREÇO MENSAL TOTAL (R$/mês)</t>
  </si>
  <si>
    <r>
      <t>J</t>
    </r>
    <r>
      <rPr>
        <vertAlign val="subscript"/>
        <sz val="12"/>
        <color indexed="8"/>
        <rFont val="Arial"/>
        <family val="2"/>
      </rPr>
      <t>m</t>
    </r>
    <r>
      <rPr>
        <sz val="12"/>
        <color indexed="8"/>
        <rFont val="Arial"/>
        <family val="2"/>
      </rPr>
      <t xml:space="preserve"> = remuneração de capital mensal</t>
    </r>
  </si>
  <si>
    <r>
      <t>V</t>
    </r>
    <r>
      <rPr>
        <vertAlign val="subscript"/>
        <sz val="12"/>
        <color indexed="8"/>
        <rFont val="Arial"/>
        <family val="2"/>
      </rPr>
      <t>0</t>
    </r>
    <r>
      <rPr>
        <sz val="12"/>
        <color indexed="8"/>
        <rFont val="Arial"/>
        <family val="2"/>
      </rPr>
      <t xml:space="preserve"> = valor inicial do bem</t>
    </r>
  </si>
  <si>
    <r>
      <t>V</t>
    </r>
    <r>
      <rPr>
        <vertAlign val="subscript"/>
        <sz val="12"/>
        <color indexed="8"/>
        <rFont val="Arial"/>
        <family val="2"/>
      </rPr>
      <t>r</t>
    </r>
    <r>
      <rPr>
        <sz val="12"/>
        <color indexed="8"/>
        <rFont val="Arial"/>
        <family val="2"/>
      </rPr>
      <t xml:space="preserve"> = valor residual do bem</t>
    </r>
  </si>
  <si>
    <t>Custo unitário</t>
  </si>
  <si>
    <t>Custo de óleo do motor /1.000 km rodados</t>
  </si>
  <si>
    <t>Custo de óleo da transmissão /1.000 km</t>
  </si>
  <si>
    <t>Custo de óleo hidráulico / 1.000 km</t>
  </si>
  <si>
    <t>PREÇO TOTAL MENSAL COM A COLETA</t>
  </si>
  <si>
    <t>CUSTO MENSAL COM BDI (R$/mês)</t>
  </si>
  <si>
    <t>Referência estudo TCE</t>
  </si>
  <si>
    <t>1. Preencha previamente os dados de entrada na planilha 3.CAGED</t>
  </si>
  <si>
    <t>1. Esta planilha é somente um modelo-base e deve ser ajustada conforme cada caso concreto.</t>
  </si>
  <si>
    <t>Fórmula de cálculo da remuneração de capital:</t>
  </si>
  <si>
    <t>Excluir esta linha caso a contratação não tenha previsão de horas extras 100% explícita no edital</t>
  </si>
  <si>
    <t>Excluir esta linha caso a contratação não tenha previsão de horas extras noturnas 100% explícita no edital</t>
  </si>
  <si>
    <t>Excluir esta linha caso a contratação não tenha previsão de horas extras 50% explícita no edital</t>
  </si>
  <si>
    <t>Excluir esta linha caso a contratação não tenha previsão de horas extras noturnas 50% explícita no edital</t>
  </si>
  <si>
    <t>Total por Motorista</t>
  </si>
  <si>
    <t>Durabilidade (meses)</t>
  </si>
  <si>
    <t>Custo com consumos/km rodado</t>
  </si>
  <si>
    <t>Consumo</t>
  </si>
  <si>
    <t>Total por veículo</t>
  </si>
  <si>
    <t>Total da frota</t>
  </si>
  <si>
    <t>1. Esta planilha é somente um modelo de cálculo expedito e deve ser ajustada conforme cada caso concreto.</t>
  </si>
  <si>
    <t>Unid</t>
  </si>
  <si>
    <t>hab</t>
  </si>
  <si>
    <t>ton</t>
  </si>
  <si>
    <t>Densidade RSU compactado</t>
  </si>
  <si>
    <t>Kg/m³</t>
  </si>
  <si>
    <t>m³</t>
  </si>
  <si>
    <t>Kg/hab.dia</t>
  </si>
  <si>
    <t>ton/dia</t>
  </si>
  <si>
    <t>População (H)</t>
  </si>
  <si>
    <t>Geração per capita (G)</t>
  </si>
  <si>
    <t>Geração total diária (Qd)</t>
  </si>
  <si>
    <t>Quantitativo diário de coleta (Qc)</t>
  </si>
  <si>
    <t>Número de dias de coleta por semana (Dc)</t>
  </si>
  <si>
    <t>Capacidade nominal de carga (Cc)</t>
  </si>
  <si>
    <t>Número de Cargas por dia (Nc)</t>
  </si>
  <si>
    <t>Número de veículos da Frota (F)</t>
  </si>
  <si>
    <t>Geração Mensal</t>
  </si>
  <si>
    <t>Tipo de Veículo (1 = toco, 2 = truck)</t>
  </si>
  <si>
    <t>Capacidade do Compactador</t>
  </si>
  <si>
    <t>Indicador</t>
  </si>
  <si>
    <t>Número total de percursos de coleta por veículo, por dia (Np)</t>
  </si>
  <si>
    <t>i</t>
  </si>
  <si>
    <t>3. Preencher somente células em amarelo</t>
  </si>
  <si>
    <t>Depreciação Média</t>
  </si>
  <si>
    <t>2. Dimensionar separadamente setores atendidos por veículos de capacidade de carga diferentes.</t>
  </si>
  <si>
    <t xml:space="preserve">1. Esta planilha é somente um modelo-base, devendo ser adaptada para cada caso concreto. </t>
  </si>
  <si>
    <t>Qualquer custo previsto no edital e não contemplado nesta planilha deverá ser devidamente incluído.</t>
  </si>
  <si>
    <t>4. As células azuis deverão ter seus valores preenchidos em outra planilha do arquivo.</t>
  </si>
  <si>
    <t>2. Antes de preenchê-la, leia a Orientação Técnica - Serviço de coleta de resíduos sólidos domiciliares</t>
  </si>
  <si>
    <t>Reincidência de FGTS sobre aviso prévio indenizado</t>
  </si>
  <si>
    <t>O orçamento deve ser realizado por responsável técnico habilitado e é de responsabilidade do seu autor.</t>
  </si>
  <si>
    <t>Piso da categoria (2)</t>
  </si>
  <si>
    <t>Salário mínimo nacional (1)</t>
  </si>
  <si>
    <t>O TCE/RS não se responsabiliza pelo uso incorreto desta planilha.</t>
  </si>
  <si>
    <t xml:space="preserve">O orçamento deve ser realizado por responsável técnico habilitado e é de </t>
  </si>
  <si>
    <t>responsabilidade do seu autor.</t>
  </si>
  <si>
    <t>realizada nos últimos 12 meses</t>
  </si>
  <si>
    <t xml:space="preserve"> todos os turnos de trabalho.</t>
  </si>
  <si>
    <t>Obs:</t>
  </si>
  <si>
    <t>&gt; Informar a população do município a ser atendida</t>
  </si>
  <si>
    <t xml:space="preserve">&gt; Caso o município possua informações de pesagem, ajustar com o valor da geração média per capita </t>
  </si>
  <si>
    <t>&gt; Informe o número de dias de coleta por semana</t>
  </si>
  <si>
    <t xml:space="preserve">&gt; Informar 1 para caminhão toco; Informar 2 para caminhão truck </t>
  </si>
  <si>
    <t>&gt; Informar a capacidade do compactador em m³</t>
  </si>
  <si>
    <t>&gt; Informar o número de percursos de coleta (cargas) que cada caminhão realiza por dia, considerando</t>
  </si>
  <si>
    <t xml:space="preserve">O orçamento deve ser realizado por responsável técnico habilitado e é </t>
  </si>
  <si>
    <t>de responsabilidade do seu autor.</t>
  </si>
  <si>
    <t xml:space="preserve">O orçamento deve ser realizado por responsável técnico habilitado e </t>
  </si>
  <si>
    <t>é de responsabilidade do seu autor.</t>
  </si>
  <si>
    <t xml:space="preserve">Ordem </t>
  </si>
  <si>
    <t xml:space="preserve">Nr. Func. </t>
  </si>
  <si>
    <t xml:space="preserve">Cargo </t>
  </si>
  <si>
    <t xml:space="preserve">Dias </t>
  </si>
  <si>
    <t xml:space="preserve">Entrada </t>
  </si>
  <si>
    <t>Saída</t>
  </si>
  <si>
    <t xml:space="preserve">Total de horas por coletor </t>
  </si>
  <si>
    <t xml:space="preserve">Total de dias por semana </t>
  </si>
  <si>
    <t xml:space="preserve">Total de horas por semana </t>
  </si>
  <si>
    <t xml:space="preserve">Dias úteis semana </t>
  </si>
  <si>
    <t>Total de dias com (DSR) Descanso Semanal Remunerado</t>
  </si>
  <si>
    <t>Total de horas/dia com (DSR)</t>
  </si>
  <si>
    <t xml:space="preserve">Total de dias no mês (30 dias) </t>
  </si>
  <si>
    <t>Total geral de horas mês com (DSR)</t>
  </si>
  <si>
    <t xml:space="preserve">Total de horas por motorista </t>
  </si>
  <si>
    <t>Total geral de horas base mês com (DSR)</t>
  </si>
  <si>
    <t xml:space="preserve">Fator de utilização </t>
  </si>
  <si>
    <t>Distância</t>
  </si>
  <si>
    <t>Und.</t>
  </si>
  <si>
    <t>Ponto a Ponto</t>
  </si>
  <si>
    <t>m</t>
  </si>
  <si>
    <t>Trecho 01</t>
  </si>
  <si>
    <t>1 - 2</t>
  </si>
  <si>
    <t>Trecho 02</t>
  </si>
  <si>
    <t>2 - 3</t>
  </si>
  <si>
    <t>Trecho 03</t>
  </si>
  <si>
    <t>3 - 4</t>
  </si>
  <si>
    <t>Trecho 04</t>
  </si>
  <si>
    <t>4 - 5</t>
  </si>
  <si>
    <t>Trecho 05</t>
  </si>
  <si>
    <t>5 - 6</t>
  </si>
  <si>
    <t>Trecho 06</t>
  </si>
  <si>
    <t>6 - 7</t>
  </si>
  <si>
    <t>Dias da semana</t>
  </si>
  <si>
    <t>Nu. Coleta Semanal</t>
  </si>
  <si>
    <t>Trecho</t>
  </si>
  <si>
    <t>x</t>
  </si>
  <si>
    <t>Total Semanal</t>
  </si>
  <si>
    <t>Km</t>
  </si>
  <si>
    <t>Total Mensal</t>
  </si>
  <si>
    <t>Tributos - PIS/COFINS/ e CPP se houver</t>
  </si>
  <si>
    <t>3.1. Veículo Coletor com compactador</t>
  </si>
  <si>
    <t>Custo de aquisição do compactador</t>
  </si>
  <si>
    <t>Idade do chassis</t>
  </si>
  <si>
    <t>Depreciação mensal do chassis</t>
  </si>
  <si>
    <t xml:space="preserve">Descrição </t>
  </si>
  <si>
    <t>Total Geral</t>
  </si>
  <si>
    <t>Publicidade (adesivos equipamentos e veículos)</t>
  </si>
  <si>
    <t>Fator de util.</t>
  </si>
  <si>
    <t xml:space="preserve">Plano de Benefício Social </t>
  </si>
  <si>
    <t xml:space="preserve">Total dos percursos Orgânicos </t>
  </si>
  <si>
    <t>Rota</t>
  </si>
  <si>
    <t>Rota 1</t>
  </si>
  <si>
    <t>Distância total diária:</t>
  </si>
  <si>
    <t xml:space="preserve">Composição dos Encargos Sociais </t>
  </si>
  <si>
    <t>Composição do BDI - Benefícios e Despesas Indiretas</t>
  </si>
  <si>
    <t>Depreciação Referencial TCE/RS (%)</t>
  </si>
  <si>
    <t>Remuneração de Capital</t>
  </si>
  <si>
    <t>Dimensionamento da frota</t>
  </si>
  <si>
    <t xml:space="preserve">Custo do jogo de pneus </t>
  </si>
  <si>
    <t xml:space="preserve">Custo mensal com Arla </t>
  </si>
  <si>
    <t>Custo de arla (5% do consumo de Óleo Diesel)</t>
  </si>
  <si>
    <t xml:space="preserve">Investimento médio total </t>
  </si>
  <si>
    <t xml:space="preserve">Remuneração mensal de capital </t>
  </si>
  <si>
    <t xml:space="preserve">TOTAL MENSAL = ROTAS DE COLETA + TRANSPORTE </t>
  </si>
  <si>
    <t>Frota Reserva 10%</t>
  </si>
  <si>
    <t>Horas/dia</t>
  </si>
  <si>
    <t>Total por Encarregado</t>
  </si>
  <si>
    <t>Orgânica</t>
  </si>
  <si>
    <t xml:space="preserve">Coleta </t>
  </si>
  <si>
    <t>Seletiva</t>
  </si>
  <si>
    <t xml:space="preserve">5. Administração Local </t>
  </si>
  <si>
    <t>6. Monitoramento da Frota</t>
  </si>
  <si>
    <t>7. Benefícios e Despesas Indiretas - BDI</t>
  </si>
  <si>
    <t xml:space="preserve">4. Ferramentas, Materiais de Consumo </t>
  </si>
  <si>
    <t>1.2. Motorista Turno do Dia</t>
  </si>
  <si>
    <t>1.3. Encarregado/Supervisor</t>
  </si>
  <si>
    <t>1.4. Vale Transporte</t>
  </si>
  <si>
    <t xml:space="preserve">Coletor </t>
  </si>
  <si>
    <t>Planilha com os horários dos funcionários coleta de resíduos orgânicos e seletivos</t>
  </si>
  <si>
    <t>1. Esta planilha é somente um modelo-base. Qualquer custo previsto no edital e não contemplado nesta planilha deverá ser devidamente incluído</t>
  </si>
  <si>
    <t>3. As células azuis deverão ter seus valores preenchidos em outra planilha do arquivo.</t>
  </si>
  <si>
    <t xml:space="preserve">Destinação Final </t>
  </si>
  <si>
    <t xml:space="preserve">Ton. </t>
  </si>
  <si>
    <t>Custo Mensal com Destinação Final (R$/mês)</t>
  </si>
  <si>
    <t xml:space="preserve">Preço total por Ton em reais </t>
  </si>
  <si>
    <t xml:space="preserve">1. Destinação final </t>
  </si>
  <si>
    <t>PREÇO TOTAL MENSAL COM O DESTINO FINAL</t>
  </si>
  <si>
    <t>Previsão Toneladas coletadas e enviadas ao aterro sanitário</t>
  </si>
  <si>
    <t xml:space="preserve">Camiseta manga curta com reflexivo </t>
  </si>
  <si>
    <t xml:space="preserve">Piso da categoria </t>
  </si>
  <si>
    <t>2. Benefícios e Despesas Indiretas - BDI</t>
  </si>
  <si>
    <t>Rota 2</t>
  </si>
  <si>
    <t>Coleta</t>
  </si>
  <si>
    <t>Coleta orgânica e seletiva</t>
  </si>
  <si>
    <t xml:space="preserve">Total dos percursos Seletivos </t>
  </si>
  <si>
    <t xml:space="preserve">Previsão de Toneladas de lixo coletados </t>
  </si>
  <si>
    <t>1.5. Vale Lanche (diário)</t>
  </si>
  <si>
    <t>Composição do BDI - Benefícios e Despesas Indiretas do Aterro Sanitário</t>
  </si>
  <si>
    <t>Trecho 07</t>
  </si>
  <si>
    <t>Trecho 08</t>
  </si>
  <si>
    <t>7 - 8</t>
  </si>
  <si>
    <t>8 - 9</t>
  </si>
  <si>
    <t>Camiseta manga longa com reflexivo</t>
  </si>
  <si>
    <t>Trecho 09</t>
  </si>
  <si>
    <t>9 - 10</t>
  </si>
  <si>
    <t xml:space="preserve">Meses </t>
  </si>
  <si>
    <t>Cor da Linha</t>
  </si>
  <si>
    <t>Distância total da Itinerário:</t>
  </si>
  <si>
    <t>Total dos percursos da coleta de lixo + Deslocamento</t>
  </si>
  <si>
    <t>Resumo do Percurso - Coleta de lixo</t>
  </si>
  <si>
    <t>Início do Itinerário - Final do Itinerário</t>
  </si>
  <si>
    <t>Final do Itinerário - Centro de Triagem</t>
  </si>
  <si>
    <t>Centro de Triagem - Aterro Sanitário</t>
  </si>
  <si>
    <t>Rota 3</t>
  </si>
  <si>
    <t>Prefeitura - Início do Itinerário</t>
  </si>
  <si>
    <t>Distância: Coleta + Transporte</t>
  </si>
  <si>
    <t>MÊS</t>
  </si>
  <si>
    <t>PESO ton</t>
  </si>
  <si>
    <t xml:space="preserve">Total Geral </t>
  </si>
  <si>
    <t xml:space="preserve">Média/meses </t>
  </si>
  <si>
    <t>1.1. Coletor Turno Dia CBO 5142</t>
  </si>
  <si>
    <t>PO R$</t>
  </si>
  <si>
    <t>Prefeitura Municipal de Selbach</t>
  </si>
  <si>
    <t>Locais de coleta:  Área Urbana + Linha Floresta</t>
  </si>
  <si>
    <t>Final do Itinerário - Aterro Sanitário</t>
  </si>
  <si>
    <t>Aterro Sanitário - Prefeitura</t>
  </si>
  <si>
    <t>ROTA 3</t>
  </si>
  <si>
    <t>Segunda</t>
  </si>
  <si>
    <t>Locais de coleta:  Área Urbana + Arroio Grande</t>
  </si>
  <si>
    <t>ROTA 1</t>
  </si>
  <si>
    <t>ROTA 2</t>
  </si>
  <si>
    <t>Locais de coleta:  Área Urbana + Arroio Grande + Linha Floresta</t>
  </si>
  <si>
    <t xml:space="preserve">Prefeitura Municipal de Selbach </t>
  </si>
  <si>
    <t>Total Geral Reciclado por mês 25% (Ton)</t>
  </si>
  <si>
    <t xml:space="preserve">Considerado 02 horas semanais.  </t>
  </si>
  <si>
    <t xml:space="preserve">Destino final </t>
  </si>
  <si>
    <t>Terça</t>
  </si>
  <si>
    <t>Periodicidade: Segunda, terça, quarta e sexta</t>
  </si>
  <si>
    <t>Total Geral de Resíduos Seletivos 25%</t>
  </si>
  <si>
    <t>Quarta e sexta</t>
  </si>
  <si>
    <t>Seguro de vida (motorista)</t>
  </si>
  <si>
    <t>Orgânica e Seletiva</t>
  </si>
  <si>
    <t>Segunda, terça, Quarta e sexta</t>
  </si>
  <si>
    <t>Rota 1, 2,  3 e 4</t>
  </si>
  <si>
    <t>Cargo: Coletor de resíduos orgânicos e seletivos</t>
  </si>
  <si>
    <t>Cargo: Motorista da coleta do lixo orgânico e seletivo</t>
  </si>
  <si>
    <t>1. Coleta e Transportes de Resíduos Orgânicos e Seletivos</t>
  </si>
  <si>
    <t>1.6. Auxílio Alimentação, Abono e Seguro de Vida</t>
  </si>
  <si>
    <t>Abono - Motorista</t>
  </si>
  <si>
    <t>Cesta básica - Motorista</t>
  </si>
  <si>
    <t xml:space="preserve">Obs: Salário do motorista, conforme Convenção Coletiva </t>
  </si>
  <si>
    <t xml:space="preserve">Bermudas </t>
  </si>
  <si>
    <t>Chapeu ou Boné tipo arabé</t>
  </si>
  <si>
    <t>Botina de segurança, ou tênis</t>
  </si>
  <si>
    <t xml:space="preserve">Óculos de proteção de radiação solar </t>
  </si>
  <si>
    <t>Botina de segurança c/ palmilha aço</t>
  </si>
  <si>
    <t xml:space="preserve">2. Destino Final </t>
  </si>
  <si>
    <t>Total Geral Coletadas (toneladas/mês)</t>
  </si>
  <si>
    <t>Custo mensal com veículo de apoio 40km semana</t>
  </si>
  <si>
    <t>Resumo Custo Edital Coleta de Resíduos Sólidos Domiciliares</t>
  </si>
  <si>
    <t>ECZ, Assessoria, Consultoria e Treinamento Ltda</t>
  </si>
  <si>
    <t>1.7. Plano de Benefício Social  e Prêmio Assiduidade</t>
  </si>
  <si>
    <t>Prêmio Assiduidade</t>
  </si>
  <si>
    <t>Selbach, 23 de março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</si>
</sst>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 &quot;#,##0.00_);\(&quot;R$ &quot;#,##0.00\)"/>
    <numFmt numFmtId="165" formatCode="_(* #,##0.00_);_(* \(#,##0.00\);_(* &quot;-&quot;??_);_(@_)"/>
    <numFmt numFmtId="166" formatCode="_(* #,##0_);_(* \(#,##0\);_(* &quot;-&quot;??_);_(@_)"/>
    <numFmt numFmtId="167" formatCode="_(* #,##0.000_);_(* \(#,##0.000\);_(* &quot;-&quot;??_);_(@_)"/>
    <numFmt numFmtId="168" formatCode="&quot;R$ &quot;#,##0.00"/>
    <numFmt numFmtId="169" formatCode="_-* #,##0.00_-;\-* #,##0.00_-;_-* &quot;-&quot;?_-;_-@_-"/>
    <numFmt numFmtId="170" formatCode="_-* #,##0.0_-;\-* #,##0.0_-;_-* &quot;-&quot;??_-;_-@_-"/>
    <numFmt numFmtId="171" formatCode="_ * #,##0.00_ ;_ * \-#,##0.00_ ;_ * &quot;-&quot;??_ ;_ @_ "/>
    <numFmt numFmtId="172" formatCode="_(* #,##0.0000_);_(* \(#,##0.0000\);_(* &quot;-&quot;??_);_(@_)"/>
    <numFmt numFmtId="173" formatCode="0.0"/>
    <numFmt numFmtId="174" formatCode="0.000"/>
    <numFmt numFmtId="175" formatCode="_(* #,##0.0000000_);_(* \(#,##0.0000000\);_(* &quot;-&quot;??_);_(@_)"/>
    <numFmt numFmtId="176" formatCode="_-* #,##0.0000_-;\-* #,##0.0000_-;_-* &quot;-&quot;??_-;_-@_-"/>
  </numFmts>
  <fonts count="6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b/>
      <sz val="14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vertAlign val="subscript"/>
      <sz val="12"/>
      <color indexed="8"/>
      <name val="Arial"/>
      <family val="2"/>
    </font>
    <font>
      <sz val="12"/>
      <color indexed="8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3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12"/>
      <color theme="1"/>
      <name val="Arial"/>
      <family val="2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7E6E6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8">
    <xf numFmtId="0" fontId="0" fillId="0" borderId="0"/>
    <xf numFmtId="0" fontId="31" fillId="0" borderId="0" applyNumberFormat="0" applyFill="0" applyBorder="0" applyAlignment="0" applyProtection="0">
      <alignment vertical="top"/>
      <protection locked="0"/>
    </xf>
    <xf numFmtId="9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23" fillId="0" borderId="0"/>
    <xf numFmtId="0" fontId="24" fillId="0" borderId="0"/>
    <xf numFmtId="0" fontId="50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50" fillId="0" borderId="0" applyFont="0" applyFill="0" applyBorder="0" applyAlignment="0" applyProtection="0"/>
    <xf numFmtId="9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4" fillId="0" borderId="0" applyFont="0" applyFill="0" applyBorder="0" applyAlignment="0" applyProtection="0"/>
    <xf numFmtId="0" fontId="22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1" fillId="0" borderId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7" fillId="0" borderId="0"/>
    <xf numFmtId="43" fontId="7" fillId="0" borderId="0" applyFont="0" applyFill="0" applyBorder="0" applyAlignment="0" applyProtection="0"/>
    <xf numFmtId="0" fontId="5" fillId="0" borderId="0"/>
    <xf numFmtId="0" fontId="4" fillId="0" borderId="0"/>
    <xf numFmtId="0" fontId="2" fillId="0" borderId="0"/>
    <xf numFmtId="4" fontId="24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550">
    <xf numFmtId="0" fontId="0" fillId="0" borderId="0" xfId="0"/>
    <xf numFmtId="0" fontId="29" fillId="0" borderId="0" xfId="0" applyFon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165" fontId="0" fillId="0" borderId="0" xfId="3" applyFont="1" applyAlignment="1">
      <alignment vertical="center"/>
    </xf>
    <xf numFmtId="0" fontId="24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5" fontId="29" fillId="0" borderId="0" xfId="3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9" fillId="0" borderId="2" xfId="0" applyFont="1" applyBorder="1" applyAlignment="1">
      <alignment vertical="center"/>
    </xf>
    <xf numFmtId="0" fontId="29" fillId="0" borderId="2" xfId="0" applyFont="1" applyBorder="1" applyAlignment="1">
      <alignment horizontal="center" vertical="center"/>
    </xf>
    <xf numFmtId="165" fontId="29" fillId="0" borderId="2" xfId="3" applyFont="1" applyBorder="1" applyAlignment="1">
      <alignment horizontal="center" vertical="center"/>
    </xf>
    <xf numFmtId="0" fontId="29" fillId="0" borderId="1" xfId="0" applyFont="1" applyBorder="1" applyAlignment="1">
      <alignment vertical="center"/>
    </xf>
    <xf numFmtId="0" fontId="29" fillId="0" borderId="1" xfId="0" applyFont="1" applyBorder="1" applyAlignment="1">
      <alignment horizontal="center" vertical="center"/>
    </xf>
    <xf numFmtId="165" fontId="29" fillId="0" borderId="1" xfId="3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165" fontId="29" fillId="0" borderId="0" xfId="3" applyFont="1" applyAlignment="1">
      <alignment horizontal="center" vertical="center"/>
    </xf>
    <xf numFmtId="165" fontId="26" fillId="2" borderId="4" xfId="3" applyFont="1" applyFill="1" applyBorder="1" applyAlignment="1">
      <alignment horizontal="center" vertical="center"/>
    </xf>
    <xf numFmtId="165" fontId="26" fillId="2" borderId="4" xfId="3" applyFont="1" applyFill="1" applyBorder="1" applyAlignment="1">
      <alignment vertical="center"/>
    </xf>
    <xf numFmtId="165" fontId="26" fillId="0" borderId="0" xfId="3" applyFont="1" applyFill="1" applyBorder="1" applyAlignment="1">
      <alignment vertical="center"/>
    </xf>
    <xf numFmtId="0" fontId="26" fillId="0" borderId="5" xfId="0" applyFont="1" applyBorder="1" applyAlignment="1">
      <alignment vertical="center"/>
    </xf>
    <xf numFmtId="0" fontId="26" fillId="0" borderId="6" xfId="0" applyFont="1" applyBorder="1" applyAlignment="1">
      <alignment vertical="center"/>
    </xf>
    <xf numFmtId="165" fontId="26" fillId="0" borderId="6" xfId="3" applyFont="1" applyBorder="1" applyAlignment="1">
      <alignment vertical="center"/>
    </xf>
    <xf numFmtId="165" fontId="26" fillId="0" borderId="7" xfId="3" applyFont="1" applyBorder="1" applyAlignment="1">
      <alignment vertical="center"/>
    </xf>
    <xf numFmtId="0" fontId="29" fillId="0" borderId="6" xfId="0" applyFont="1" applyBorder="1" applyAlignment="1">
      <alignment vertical="center"/>
    </xf>
    <xf numFmtId="165" fontId="29" fillId="0" borderId="6" xfId="3" applyFont="1" applyBorder="1" applyAlignment="1">
      <alignment vertical="center"/>
    </xf>
    <xf numFmtId="165" fontId="29" fillId="0" borderId="7" xfId="3" applyFont="1" applyBorder="1" applyAlignment="1">
      <alignment vertical="center"/>
    </xf>
    <xf numFmtId="165" fontId="26" fillId="0" borderId="0" xfId="3" applyFont="1" applyBorder="1" applyAlignment="1">
      <alignment horizontal="center" vertical="center"/>
    </xf>
    <xf numFmtId="3" fontId="29" fillId="0" borderId="0" xfId="0" applyNumberFormat="1" applyFont="1" applyAlignment="1">
      <alignment vertical="center"/>
    </xf>
    <xf numFmtId="165" fontId="26" fillId="0" borderId="0" xfId="3" applyFont="1" applyFill="1" applyBorder="1" applyAlignment="1">
      <alignment horizontal="center" vertical="center"/>
    </xf>
    <xf numFmtId="165" fontId="26" fillId="0" borderId="0" xfId="3" applyFont="1" applyBorder="1" applyAlignment="1">
      <alignment vertical="center"/>
    </xf>
    <xf numFmtId="165" fontId="28" fillId="0" borderId="0" xfId="3" applyFont="1" applyAlignment="1">
      <alignment vertical="center"/>
    </xf>
    <xf numFmtId="166" fontId="29" fillId="0" borderId="1" xfId="3" applyNumberFormat="1" applyFont="1" applyBorder="1" applyAlignment="1">
      <alignment vertical="center"/>
    </xf>
    <xf numFmtId="165" fontId="27" fillId="0" borderId="0" xfId="3" applyFont="1" applyAlignment="1">
      <alignment vertical="center"/>
    </xf>
    <xf numFmtId="165" fontId="0" fillId="0" borderId="11" xfId="3" applyFont="1" applyBorder="1" applyAlignment="1">
      <alignment vertical="center"/>
    </xf>
    <xf numFmtId="165" fontId="26" fillId="0" borderId="12" xfId="3" applyFont="1" applyBorder="1" applyAlignment="1">
      <alignment horizontal="center" vertical="center"/>
    </xf>
    <xf numFmtId="165" fontId="26" fillId="0" borderId="5" xfId="3" applyFont="1" applyBorder="1" applyAlignment="1">
      <alignment horizontal="left" vertical="center"/>
    </xf>
    <xf numFmtId="4" fontId="26" fillId="0" borderId="6" xfId="0" applyNumberFormat="1" applyFont="1" applyBorder="1" applyAlignment="1">
      <alignment horizontal="centerContinuous" vertical="center"/>
    </xf>
    <xf numFmtId="165" fontId="26" fillId="0" borderId="0" xfId="3" applyFont="1" applyAlignment="1">
      <alignment vertical="center"/>
    </xf>
    <xf numFmtId="165" fontId="0" fillId="0" borderId="9" xfId="0" applyNumberFormat="1" applyBorder="1" applyAlignment="1">
      <alignment vertical="center"/>
    </xf>
    <xf numFmtId="4" fontId="0" fillId="0" borderId="9" xfId="0" applyNumberFormat="1" applyBorder="1" applyAlignment="1">
      <alignment horizontal="centerContinuous" vertical="center"/>
    </xf>
    <xf numFmtId="165" fontId="0" fillId="0" borderId="9" xfId="3" applyFont="1" applyBorder="1" applyAlignment="1">
      <alignment vertical="center"/>
    </xf>
    <xf numFmtId="165" fontId="26" fillId="0" borderId="13" xfId="3" applyFont="1" applyBorder="1" applyAlignment="1">
      <alignment horizontal="right" vertical="center"/>
    </xf>
    <xf numFmtId="165" fontId="0" fillId="0" borderId="14" xfId="3" applyFont="1" applyBorder="1" applyAlignment="1">
      <alignment vertical="center"/>
    </xf>
    <xf numFmtId="165" fontId="29" fillId="0" borderId="1" xfId="3" applyFont="1" applyBorder="1" applyAlignment="1">
      <alignment vertical="center"/>
    </xf>
    <xf numFmtId="0" fontId="34" fillId="0" borderId="0" xfId="0" applyFont="1" applyAlignment="1">
      <alignment vertical="center"/>
    </xf>
    <xf numFmtId="0" fontId="33" fillId="0" borderId="1" xfId="0" applyFont="1" applyBorder="1" applyAlignment="1">
      <alignment horizontal="center" vertical="center"/>
    </xf>
    <xf numFmtId="165" fontId="29" fillId="0" borderId="0" xfId="3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165" fontId="27" fillId="0" borderId="0" xfId="3" applyFont="1" applyBorder="1" applyAlignment="1">
      <alignment vertical="center"/>
    </xf>
    <xf numFmtId="10" fontId="0" fillId="0" borderId="15" xfId="2" applyNumberFormat="1" applyFont="1" applyBorder="1" applyAlignment="1">
      <alignment vertical="center"/>
    </xf>
    <xf numFmtId="165" fontId="29" fillId="0" borderId="0" xfId="3" applyFont="1" applyBorder="1" applyAlignment="1">
      <alignment vertical="center"/>
    </xf>
    <xf numFmtId="0" fontId="36" fillId="2" borderId="16" xfId="0" applyFont="1" applyFill="1" applyBorder="1" applyAlignment="1">
      <alignment horizontal="center" vertical="center"/>
    </xf>
    <xf numFmtId="0" fontId="36" fillId="2" borderId="17" xfId="0" applyFont="1" applyFill="1" applyBorder="1" applyAlignment="1">
      <alignment horizontal="center" vertical="center"/>
    </xf>
    <xf numFmtId="165" fontId="36" fillId="2" borderId="17" xfId="3" applyFont="1" applyFill="1" applyBorder="1" applyAlignment="1">
      <alignment horizontal="center" vertical="center"/>
    </xf>
    <xf numFmtId="165" fontId="36" fillId="2" borderId="18" xfId="3" applyFont="1" applyFill="1" applyBorder="1" applyAlignment="1">
      <alignment horizontal="center" vertical="center"/>
    </xf>
    <xf numFmtId="165" fontId="26" fillId="0" borderId="19" xfId="3" applyFont="1" applyBorder="1" applyAlignment="1">
      <alignment horizontal="center" vertical="center"/>
    </xf>
    <xf numFmtId="165" fontId="24" fillId="0" borderId="14" xfId="3" applyFont="1" applyBorder="1" applyAlignment="1">
      <alignment horizontal="left" vertical="center"/>
    </xf>
    <xf numFmtId="165" fontId="29" fillId="0" borderId="9" xfId="3" applyFont="1" applyBorder="1" applyAlignment="1">
      <alignment vertical="center"/>
    </xf>
    <xf numFmtId="165" fontId="29" fillId="0" borderId="14" xfId="3" applyFont="1" applyBorder="1" applyAlignment="1">
      <alignment vertical="center"/>
    </xf>
    <xf numFmtId="166" fontId="29" fillId="0" borderId="0" xfId="3" applyNumberFormat="1" applyFont="1" applyBorder="1" applyAlignment="1">
      <alignment horizontal="center" vertical="center"/>
    </xf>
    <xf numFmtId="1" fontId="29" fillId="0" borderId="1" xfId="0" applyNumberFormat="1" applyFont="1" applyBorder="1" applyAlignment="1">
      <alignment horizontal="center" vertical="center"/>
    </xf>
    <xf numFmtId="1" fontId="29" fillId="0" borderId="20" xfId="3" applyNumberFormat="1" applyFont="1" applyBorder="1" applyAlignment="1">
      <alignment horizontal="center" vertical="center"/>
    </xf>
    <xf numFmtId="165" fontId="26" fillId="0" borderId="28" xfId="3" applyFont="1" applyBorder="1" applyAlignment="1">
      <alignment vertical="center"/>
    </xf>
    <xf numFmtId="4" fontId="26" fillId="0" borderId="29" xfId="0" applyNumberFormat="1" applyFont="1" applyBorder="1" applyAlignment="1">
      <alignment vertical="center"/>
    </xf>
    <xf numFmtId="165" fontId="29" fillId="0" borderId="19" xfId="3" applyFont="1" applyBorder="1" applyAlignment="1">
      <alignment vertical="center"/>
    </xf>
    <xf numFmtId="165" fontId="29" fillId="0" borderId="11" xfId="3" applyFont="1" applyBorder="1" applyAlignment="1">
      <alignment vertical="center"/>
    </xf>
    <xf numFmtId="0" fontId="0" fillId="0" borderId="11" xfId="0" applyBorder="1" applyAlignment="1">
      <alignment vertical="center"/>
    </xf>
    <xf numFmtId="1" fontId="29" fillId="0" borderId="12" xfId="3" applyNumberFormat="1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29" xfId="0" applyBorder="1" applyAlignment="1">
      <alignment vertical="center"/>
    </xf>
    <xf numFmtId="1" fontId="26" fillId="0" borderId="31" xfId="3" applyNumberFormat="1" applyFont="1" applyBorder="1" applyAlignment="1">
      <alignment horizontal="center" vertical="center"/>
    </xf>
    <xf numFmtId="165" fontId="35" fillId="0" borderId="1" xfId="3" applyFont="1" applyBorder="1" applyAlignment="1">
      <alignment horizontal="center" vertical="center"/>
    </xf>
    <xf numFmtId="165" fontId="29" fillId="0" borderId="1" xfId="3" applyFont="1" applyFill="1" applyBorder="1" applyAlignment="1">
      <alignment horizontal="center" vertical="center"/>
    </xf>
    <xf numFmtId="165" fontId="34" fillId="0" borderId="0" xfId="3" applyFont="1" applyAlignment="1">
      <alignment vertical="center"/>
    </xf>
    <xf numFmtId="43" fontId="29" fillId="0" borderId="0" xfId="0" applyNumberFormat="1" applyFont="1" applyAlignment="1">
      <alignment vertical="center"/>
    </xf>
    <xf numFmtId="0" fontId="29" fillId="3" borderId="1" xfId="0" applyFont="1" applyFill="1" applyBorder="1" applyAlignment="1">
      <alignment horizontal="center" vertical="center"/>
    </xf>
    <xf numFmtId="165" fontId="29" fillId="3" borderId="2" xfId="3" applyFont="1" applyFill="1" applyBorder="1" applyAlignment="1">
      <alignment horizontal="center" vertical="center"/>
    </xf>
    <xf numFmtId="2" fontId="29" fillId="3" borderId="1" xfId="0" applyNumberFormat="1" applyFont="1" applyFill="1" applyBorder="1" applyAlignment="1">
      <alignment horizontal="center" vertical="center"/>
    </xf>
    <xf numFmtId="165" fontId="29" fillId="3" borderId="1" xfId="3" applyFont="1" applyFill="1" applyBorder="1" applyAlignment="1">
      <alignment horizontal="center" vertical="center"/>
    </xf>
    <xf numFmtId="1" fontId="29" fillId="3" borderId="1" xfId="0" applyNumberFormat="1" applyFont="1" applyFill="1" applyBorder="1" applyAlignment="1">
      <alignment horizontal="center" vertical="center"/>
    </xf>
    <xf numFmtId="0" fontId="29" fillId="3" borderId="0" xfId="0" applyFont="1" applyFill="1" applyAlignment="1">
      <alignment vertical="center"/>
    </xf>
    <xf numFmtId="165" fontId="29" fillId="3" borderId="0" xfId="3" applyFont="1" applyFill="1" applyAlignment="1">
      <alignment vertical="center"/>
    </xf>
    <xf numFmtId="0" fontId="29" fillId="0" borderId="0" xfId="0" applyFont="1" applyAlignment="1">
      <alignment horizontal="right" vertical="center"/>
    </xf>
    <xf numFmtId="166" fontId="29" fillId="0" borderId="1" xfId="3" applyNumberFormat="1" applyFont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4" fontId="29" fillId="3" borderId="2" xfId="0" applyNumberFormat="1" applyFont="1" applyFill="1" applyBorder="1" applyAlignment="1">
      <alignment horizontal="center" vertical="center"/>
    </xf>
    <xf numFmtId="3" fontId="29" fillId="3" borderId="1" xfId="0" applyNumberFormat="1" applyFont="1" applyFill="1" applyBorder="1" applyAlignment="1">
      <alignment horizontal="center" vertical="center"/>
    </xf>
    <xf numFmtId="4" fontId="29" fillId="3" borderId="1" xfId="0" applyNumberFormat="1" applyFont="1" applyFill="1" applyBorder="1" applyAlignment="1">
      <alignment horizontal="center" vertical="center"/>
    </xf>
    <xf numFmtId="13" fontId="29" fillId="3" borderId="1" xfId="0" applyNumberFormat="1" applyFont="1" applyFill="1" applyBorder="1" applyAlignment="1">
      <alignment horizontal="center" vertical="center"/>
    </xf>
    <xf numFmtId="166" fontId="29" fillId="0" borderId="1" xfId="3" applyNumberFormat="1" applyFont="1" applyFill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165" fontId="26" fillId="0" borderId="1" xfId="3" applyFont="1" applyBorder="1" applyAlignment="1">
      <alignment horizontal="center" vertical="center"/>
    </xf>
    <xf numFmtId="165" fontId="29" fillId="0" borderId="2" xfId="3" applyFont="1" applyFill="1" applyBorder="1" applyAlignment="1">
      <alignment horizontal="center" vertical="center"/>
    </xf>
    <xf numFmtId="0" fontId="31" fillId="0" borderId="0" xfId="1" applyAlignment="1" applyProtection="1">
      <alignment vertical="center"/>
    </xf>
    <xf numFmtId="0" fontId="26" fillId="0" borderId="0" xfId="0" applyFont="1"/>
    <xf numFmtId="0" fontId="36" fillId="2" borderId="32" xfId="0" applyFont="1" applyFill="1" applyBorder="1" applyAlignment="1">
      <alignment horizontal="center" vertical="center"/>
    </xf>
    <xf numFmtId="0" fontId="36" fillId="2" borderId="33" xfId="0" applyFont="1" applyFill="1" applyBorder="1" applyAlignment="1">
      <alignment horizontal="center" vertical="center"/>
    </xf>
    <xf numFmtId="165" fontId="36" fillId="2" borderId="33" xfId="3" applyFont="1" applyFill="1" applyBorder="1" applyAlignment="1">
      <alignment horizontal="center" vertical="center"/>
    </xf>
    <xf numFmtId="165" fontId="29" fillId="0" borderId="0" xfId="3" applyFont="1" applyFill="1" applyAlignment="1">
      <alignment vertical="center"/>
    </xf>
    <xf numFmtId="165" fontId="26" fillId="0" borderId="1" xfId="3" applyFont="1" applyFill="1" applyBorder="1" applyAlignment="1">
      <alignment horizontal="center" vertical="center"/>
    </xf>
    <xf numFmtId="164" fontId="26" fillId="0" borderId="34" xfId="0" applyNumberFormat="1" applyFont="1" applyBorder="1" applyAlignment="1">
      <alignment vertical="center"/>
    </xf>
    <xf numFmtId="165" fontId="26" fillId="0" borderId="35" xfId="3" applyFont="1" applyBorder="1" applyAlignment="1">
      <alignment vertical="center"/>
    </xf>
    <xf numFmtId="0" fontId="26" fillId="0" borderId="3" xfId="0" applyFont="1" applyBorder="1" applyAlignment="1">
      <alignment vertical="center"/>
    </xf>
    <xf numFmtId="0" fontId="26" fillId="0" borderId="0" xfId="0" applyFont="1" applyAlignment="1">
      <alignment horizontal="center" vertical="center"/>
    </xf>
    <xf numFmtId="165" fontId="26" fillId="0" borderId="0" xfId="3" applyFont="1" applyAlignment="1">
      <alignment horizontal="center" vertical="center"/>
    </xf>
    <xf numFmtId="165" fontId="26" fillId="0" borderId="3" xfId="3" applyFont="1" applyBorder="1" applyAlignment="1">
      <alignment horizontal="center" vertical="center"/>
    </xf>
    <xf numFmtId="0" fontId="0" fillId="0" borderId="0" xfId="0" applyAlignment="1">
      <alignment horizontal="center"/>
    </xf>
    <xf numFmtId="165" fontId="29" fillId="0" borderId="0" xfId="3" applyFont="1" applyAlignment="1">
      <alignment horizontal="right" vertical="center"/>
    </xf>
    <xf numFmtId="165" fontId="26" fillId="2" borderId="7" xfId="3" applyFont="1" applyFill="1" applyBorder="1" applyAlignment="1">
      <alignment horizontal="center" vertical="center"/>
    </xf>
    <xf numFmtId="165" fontId="26" fillId="0" borderId="14" xfId="3" applyFont="1" applyBorder="1" applyAlignment="1">
      <alignment vertical="center"/>
    </xf>
    <xf numFmtId="165" fontId="26" fillId="0" borderId="9" xfId="0" applyNumberFormat="1" applyFont="1" applyBorder="1" applyAlignment="1">
      <alignment vertical="center"/>
    </xf>
    <xf numFmtId="165" fontId="26" fillId="0" borderId="9" xfId="3" applyFont="1" applyBorder="1" applyAlignment="1">
      <alignment vertical="center"/>
    </xf>
    <xf numFmtId="10" fontId="26" fillId="0" borderId="15" xfId="2" applyNumberFormat="1" applyFont="1" applyBorder="1" applyAlignment="1">
      <alignment vertical="center"/>
    </xf>
    <xf numFmtId="165" fontId="26" fillId="0" borderId="38" xfId="3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5" fontId="29" fillId="0" borderId="39" xfId="3" applyFont="1" applyBorder="1" applyAlignment="1">
      <alignment vertical="center"/>
    </xf>
    <xf numFmtId="165" fontId="29" fillId="0" borderId="40" xfId="3" applyFont="1" applyBorder="1" applyAlignment="1">
      <alignment vertical="center"/>
    </xf>
    <xf numFmtId="165" fontId="29" fillId="0" borderId="41" xfId="3" applyFont="1" applyBorder="1" applyAlignment="1">
      <alignment vertical="center"/>
    </xf>
    <xf numFmtId="0" fontId="29" fillId="0" borderId="41" xfId="0" applyFont="1" applyBorder="1" applyAlignment="1">
      <alignment vertical="center"/>
    </xf>
    <xf numFmtId="1" fontId="29" fillId="0" borderId="37" xfId="3" applyNumberFormat="1" applyFont="1" applyBorder="1" applyAlignment="1">
      <alignment horizontal="center" vertical="center"/>
    </xf>
    <xf numFmtId="165" fontId="26" fillId="0" borderId="14" xfId="3" applyFont="1" applyBorder="1" applyAlignment="1">
      <alignment horizontal="left" vertical="center"/>
    </xf>
    <xf numFmtId="4" fontId="26" fillId="0" borderId="9" xfId="0" applyNumberFormat="1" applyFont="1" applyBorder="1" applyAlignment="1">
      <alignment horizontal="centerContinuous" vertical="center"/>
    </xf>
    <xf numFmtId="4" fontId="29" fillId="0" borderId="0" xfId="0" applyNumberFormat="1" applyFont="1" applyAlignment="1">
      <alignment vertical="center"/>
    </xf>
    <xf numFmtId="165" fontId="29" fillId="6" borderId="1" xfId="3" applyFont="1" applyFill="1" applyBorder="1" applyAlignment="1">
      <alignment horizontal="center" vertical="center"/>
    </xf>
    <xf numFmtId="165" fontId="29" fillId="6" borderId="1" xfId="3" applyFont="1" applyFill="1" applyBorder="1" applyAlignment="1">
      <alignment vertical="center"/>
    </xf>
    <xf numFmtId="9" fontId="26" fillId="0" borderId="18" xfId="2" applyFont="1" applyBorder="1" applyAlignment="1">
      <alignment vertical="center"/>
    </xf>
    <xf numFmtId="10" fontId="29" fillId="0" borderId="15" xfId="2" applyNumberFormat="1" applyFont="1" applyBorder="1" applyAlignment="1">
      <alignment vertical="center"/>
    </xf>
    <xf numFmtId="0" fontId="28" fillId="0" borderId="0" xfId="0" applyFont="1"/>
    <xf numFmtId="0" fontId="28" fillId="0" borderId="0" xfId="0" applyFont="1" applyAlignment="1">
      <alignment horizontal="center"/>
    </xf>
    <xf numFmtId="165" fontId="29" fillId="0" borderId="1" xfId="0" applyNumberFormat="1" applyFont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3" applyFont="1" applyFill="1" applyBorder="1" applyAlignment="1">
      <alignment vertical="center"/>
    </xf>
    <xf numFmtId="165" fontId="0" fillId="0" borderId="39" xfId="3" applyFont="1" applyFill="1" applyBorder="1" applyAlignment="1">
      <alignment vertical="center"/>
    </xf>
    <xf numFmtId="166" fontId="26" fillId="0" borderId="0" xfId="3" applyNumberFormat="1" applyFont="1" applyBorder="1" applyAlignment="1">
      <alignment horizontal="center" vertical="center"/>
    </xf>
    <xf numFmtId="2" fontId="39" fillId="7" borderId="1" xfId="0" applyNumberFormat="1" applyFont="1" applyFill="1" applyBorder="1" applyAlignment="1">
      <alignment horizontal="right" vertic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2" fontId="39" fillId="7" borderId="36" xfId="0" applyNumberFormat="1" applyFont="1" applyFill="1" applyBorder="1" applyAlignment="1">
      <alignment horizontal="right" vertical="center"/>
    </xf>
    <xf numFmtId="0" fontId="39" fillId="0" borderId="23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39" fillId="0" borderId="20" xfId="0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10" fontId="39" fillId="0" borderId="20" xfId="0" applyNumberFormat="1" applyFont="1" applyBorder="1" applyAlignment="1">
      <alignment horizontal="right" vertical="center"/>
    </xf>
    <xf numFmtId="0" fontId="43" fillId="0" borderId="1" xfId="0" applyFont="1" applyBorder="1" applyAlignment="1">
      <alignment horizontal="left" vertical="center"/>
    </xf>
    <xf numFmtId="10" fontId="43" fillId="0" borderId="20" xfId="0" applyNumberFormat="1" applyFont="1" applyBorder="1" applyAlignment="1">
      <alignment horizontal="right" vertical="center"/>
    </xf>
    <xf numFmtId="0" fontId="39" fillId="5" borderId="23" xfId="0" applyFont="1" applyFill="1" applyBorder="1" applyAlignment="1">
      <alignment horizontal="left" vertical="center"/>
    </xf>
    <xf numFmtId="0" fontId="43" fillId="5" borderId="1" xfId="0" applyFont="1" applyFill="1" applyBorder="1" applyAlignment="1">
      <alignment horizontal="left" vertical="center"/>
    </xf>
    <xf numFmtId="10" fontId="43" fillId="5" borderId="20" xfId="0" applyNumberFormat="1" applyFont="1" applyFill="1" applyBorder="1" applyAlignment="1">
      <alignment horizontal="right" vertical="center"/>
    </xf>
    <xf numFmtId="0" fontId="44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10" fontId="29" fillId="0" borderId="0" xfId="0" applyNumberFormat="1" applyFont="1"/>
    <xf numFmtId="9" fontId="39" fillId="0" borderId="0" xfId="2" applyFont="1" applyBorder="1" applyAlignment="1">
      <alignment horizontal="right" vertical="center"/>
    </xf>
    <xf numFmtId="0" fontId="39" fillId="0" borderId="1" xfId="0" applyFont="1" applyBorder="1" applyAlignment="1">
      <alignment horizontal="left" vertical="center" wrapText="1"/>
    </xf>
    <xf numFmtId="0" fontId="39" fillId="9" borderId="24" xfId="0" applyFont="1" applyFill="1" applyBorder="1" applyAlignment="1">
      <alignment horizontal="left" vertical="center"/>
    </xf>
    <xf numFmtId="0" fontId="43" fillId="9" borderId="36" xfId="0" applyFont="1" applyFill="1" applyBorder="1" applyAlignment="1">
      <alignment horizontal="left" vertical="center"/>
    </xf>
    <xf numFmtId="10" fontId="43" fillId="9" borderId="37" xfId="0" applyNumberFormat="1" applyFont="1" applyFill="1" applyBorder="1" applyAlignment="1">
      <alignment horizontal="right" vertical="center"/>
    </xf>
    <xf numFmtId="0" fontId="43" fillId="0" borderId="0" xfId="0" applyFont="1" applyAlignment="1">
      <alignment horizontal="left" vertical="center"/>
    </xf>
    <xf numFmtId="10" fontId="43" fillId="0" borderId="0" xfId="0" applyNumberFormat="1" applyFont="1" applyAlignment="1">
      <alignment horizontal="right" vertical="center"/>
    </xf>
    <xf numFmtId="0" fontId="45" fillId="4" borderId="0" xfId="0" applyFont="1" applyFill="1" applyAlignment="1">
      <alignment horizontal="left" vertical="center"/>
    </xf>
    <xf numFmtId="10" fontId="39" fillId="0" borderId="0" xfId="0" applyNumberFormat="1" applyFont="1" applyAlignment="1">
      <alignment horizontal="right" vertical="center"/>
    </xf>
    <xf numFmtId="0" fontId="39" fillId="4" borderId="0" xfId="0" applyFont="1" applyFill="1" applyAlignment="1">
      <alignment horizontal="left" vertical="center"/>
    </xf>
    <xf numFmtId="0" fontId="46" fillId="0" borderId="0" xfId="0" applyFont="1" applyAlignment="1">
      <alignment horizontal="justify" vertical="center"/>
    </xf>
    <xf numFmtId="0" fontId="31" fillId="0" borderId="0" xfId="1" applyBorder="1" applyAlignment="1" applyProtection="1">
      <alignment horizontal="left" vertical="center"/>
    </xf>
    <xf numFmtId="0" fontId="47" fillId="0" borderId="0" xfId="0" applyFont="1"/>
    <xf numFmtId="0" fontId="39" fillId="0" borderId="0" xfId="0" applyFont="1" applyAlignment="1">
      <alignment horizontal="right" vertical="center"/>
    </xf>
    <xf numFmtId="0" fontId="31" fillId="0" borderId="0" xfId="1" applyBorder="1" applyAlignment="1" applyProtection="1">
      <alignment vertical="center"/>
    </xf>
    <xf numFmtId="0" fontId="28" fillId="0" borderId="23" xfId="0" applyFont="1" applyBorder="1"/>
    <xf numFmtId="0" fontId="28" fillId="3" borderId="20" xfId="0" applyFont="1" applyFill="1" applyBorder="1"/>
    <xf numFmtId="0" fontId="28" fillId="0" borderId="38" xfId="0" applyFont="1" applyBorder="1"/>
    <xf numFmtId="0" fontId="30" fillId="0" borderId="38" xfId="0" applyFont="1" applyBorder="1" applyAlignment="1">
      <alignment horizontal="left" vertical="center"/>
    </xf>
    <xf numFmtId="9" fontId="28" fillId="0" borderId="23" xfId="2" applyFont="1" applyBorder="1"/>
    <xf numFmtId="9" fontId="28" fillId="0" borderId="1" xfId="2" applyFont="1" applyBorder="1" applyAlignment="1">
      <alignment horizontal="center"/>
    </xf>
    <xf numFmtId="9" fontId="28" fillId="0" borderId="20" xfId="2" applyFont="1" applyBorder="1"/>
    <xf numFmtId="0" fontId="28" fillId="0" borderId="21" xfId="0" applyFont="1" applyBorder="1" applyAlignment="1">
      <alignment horizontal="left" vertical="center"/>
    </xf>
    <xf numFmtId="0" fontId="28" fillId="0" borderId="22" xfId="0" applyFont="1" applyBorder="1" applyAlignment="1">
      <alignment horizontal="center" vertical="center"/>
    </xf>
    <xf numFmtId="10" fontId="28" fillId="3" borderId="12" xfId="0" applyNumberFormat="1" applyFont="1" applyFill="1" applyBorder="1" applyAlignment="1">
      <alignment horizontal="center" vertical="center"/>
    </xf>
    <xf numFmtId="10" fontId="28" fillId="0" borderId="20" xfId="2" applyNumberFormat="1" applyFont="1" applyBorder="1"/>
    <xf numFmtId="0" fontId="28" fillId="0" borderId="23" xfId="0" applyFont="1" applyBorder="1" applyAlignment="1">
      <alignment horizontal="left" vertical="center"/>
    </xf>
    <xf numFmtId="0" fontId="28" fillId="0" borderId="1" xfId="0" applyFont="1" applyBorder="1" applyAlignment="1">
      <alignment horizontal="center" vertical="center"/>
    </xf>
    <xf numFmtId="10" fontId="28" fillId="3" borderId="20" xfId="0" applyNumberFormat="1" applyFont="1" applyFill="1" applyBorder="1" applyAlignment="1">
      <alignment horizontal="center" vertical="center"/>
    </xf>
    <xf numFmtId="10" fontId="28" fillId="0" borderId="20" xfId="0" applyNumberFormat="1" applyFont="1" applyBorder="1" applyAlignment="1">
      <alignment horizontal="center" vertical="center"/>
    </xf>
    <xf numFmtId="10" fontId="28" fillId="3" borderId="1" xfId="2" applyNumberFormat="1" applyFont="1" applyFill="1" applyBorder="1" applyAlignment="1">
      <alignment horizontal="center"/>
    </xf>
    <xf numFmtId="0" fontId="28" fillId="3" borderId="1" xfId="0" applyFont="1" applyFill="1" applyBorder="1" applyAlignment="1">
      <alignment horizontal="center"/>
    </xf>
    <xf numFmtId="0" fontId="28" fillId="0" borderId="20" xfId="0" applyFont="1" applyBorder="1"/>
    <xf numFmtId="0" fontId="28" fillId="0" borderId="24" xfId="0" applyFont="1" applyBorder="1" applyAlignment="1">
      <alignment horizontal="left" vertical="center"/>
    </xf>
    <xf numFmtId="10" fontId="28" fillId="3" borderId="37" xfId="0" applyNumberFormat="1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/>
    </xf>
    <xf numFmtId="0" fontId="28" fillId="0" borderId="25" xfId="0" applyFont="1" applyBorder="1" applyAlignment="1">
      <alignment vertical="center"/>
    </xf>
    <xf numFmtId="0" fontId="28" fillId="0" borderId="26" xfId="0" applyFont="1" applyBorder="1" applyAlignment="1">
      <alignment vertical="center"/>
    </xf>
    <xf numFmtId="10" fontId="28" fillId="0" borderId="27" xfId="0" applyNumberFormat="1" applyFont="1" applyBorder="1" applyAlignment="1">
      <alignment vertical="center"/>
    </xf>
    <xf numFmtId="0" fontId="28" fillId="0" borderId="28" xfId="0" applyFont="1" applyBorder="1" applyAlignment="1">
      <alignment horizontal="left" vertical="center"/>
    </xf>
    <xf numFmtId="0" fontId="28" fillId="0" borderId="29" xfId="0" applyFont="1" applyBorder="1" applyAlignment="1">
      <alignment horizontal="left" vertical="center"/>
    </xf>
    <xf numFmtId="0" fontId="28" fillId="0" borderId="30" xfId="0" applyFont="1" applyBorder="1" applyAlignment="1">
      <alignment vertical="center"/>
    </xf>
    <xf numFmtId="0" fontId="30" fillId="5" borderId="5" xfId="0" applyFont="1" applyFill="1" applyBorder="1" applyAlignment="1">
      <alignment vertical="center" wrapText="1"/>
    </xf>
    <xf numFmtId="0" fontId="28" fillId="5" borderId="6" xfId="0" applyFont="1" applyFill="1" applyBorder="1" applyAlignment="1">
      <alignment vertical="center"/>
    </xf>
    <xf numFmtId="10" fontId="30" fillId="5" borderId="7" xfId="0" applyNumberFormat="1" applyFont="1" applyFill="1" applyBorder="1" applyAlignment="1">
      <alignment horizontal="center" vertical="center" wrapText="1"/>
    </xf>
    <xf numFmtId="10" fontId="28" fillId="0" borderId="23" xfId="2" applyNumberFormat="1" applyFont="1" applyBorder="1" applyAlignment="1">
      <alignment horizontal="right"/>
    </xf>
    <xf numFmtId="10" fontId="28" fillId="0" borderId="1" xfId="2" applyNumberFormat="1" applyFont="1" applyBorder="1" applyAlignment="1">
      <alignment horizontal="right"/>
    </xf>
    <xf numFmtId="10" fontId="28" fillId="0" borderId="20" xfId="2" applyNumberFormat="1" applyFont="1" applyBorder="1" applyAlignment="1">
      <alignment horizontal="right"/>
    </xf>
    <xf numFmtId="10" fontId="28" fillId="0" borderId="24" xfId="2" applyNumberFormat="1" applyFont="1" applyBorder="1" applyAlignment="1">
      <alignment horizontal="right"/>
    </xf>
    <xf numFmtId="10" fontId="28" fillId="0" borderId="36" xfId="2" applyNumberFormat="1" applyFont="1" applyBorder="1" applyAlignment="1">
      <alignment horizontal="right"/>
    </xf>
    <xf numFmtId="10" fontId="28" fillId="0" borderId="37" xfId="2" applyNumberFormat="1" applyFont="1" applyBorder="1" applyAlignment="1">
      <alignment horizontal="right"/>
    </xf>
    <xf numFmtId="0" fontId="29" fillId="0" borderId="50" xfId="0" applyFont="1" applyBorder="1"/>
    <xf numFmtId="0" fontId="40" fillId="0" borderId="50" xfId="0" applyFont="1" applyBorder="1" applyAlignment="1">
      <alignment horizontal="justify"/>
    </xf>
    <xf numFmtId="0" fontId="40" fillId="0" borderId="51" xfId="0" applyFont="1" applyBorder="1" applyAlignment="1">
      <alignment horizontal="justify"/>
    </xf>
    <xf numFmtId="0" fontId="38" fillId="10" borderId="49" xfId="0" applyFont="1" applyFill="1" applyBorder="1" applyAlignment="1">
      <alignment horizontal="center"/>
    </xf>
    <xf numFmtId="1" fontId="29" fillId="0" borderId="0" xfId="3" applyNumberFormat="1" applyFont="1" applyBorder="1" applyAlignment="1">
      <alignment horizontal="center" vertical="center"/>
    </xf>
    <xf numFmtId="0" fontId="29" fillId="0" borderId="8" xfId="0" applyFont="1" applyBorder="1" applyAlignment="1">
      <alignment vertical="center"/>
    </xf>
    <xf numFmtId="0" fontId="29" fillId="0" borderId="9" xfId="0" applyFont="1" applyBorder="1" applyAlignment="1">
      <alignment vertical="center"/>
    </xf>
    <xf numFmtId="165" fontId="29" fillId="3" borderId="9" xfId="3" applyFont="1" applyFill="1" applyBorder="1" applyAlignment="1">
      <alignment vertical="center"/>
    </xf>
    <xf numFmtId="165" fontId="29" fillId="0" borderId="10" xfId="3" applyFont="1" applyBorder="1" applyAlignment="1">
      <alignment vertical="center"/>
    </xf>
    <xf numFmtId="165" fontId="26" fillId="0" borderId="7" xfId="3" applyFont="1" applyBorder="1" applyAlignment="1">
      <alignment horizontal="right" vertical="center"/>
    </xf>
    <xf numFmtId="165" fontId="26" fillId="2" borderId="4" xfId="3" applyFont="1" applyFill="1" applyBorder="1" applyAlignment="1">
      <alignment horizontal="right" vertical="center"/>
    </xf>
    <xf numFmtId="168" fontId="26" fillId="0" borderId="1" xfId="0" applyNumberFormat="1" applyFont="1" applyBorder="1" applyAlignment="1">
      <alignment vertical="center"/>
    </xf>
    <xf numFmtId="168" fontId="0" fillId="0" borderId="1" xfId="0" applyNumberFormat="1" applyBorder="1" applyAlignment="1">
      <alignment vertical="center"/>
    </xf>
    <xf numFmtId="168" fontId="26" fillId="0" borderId="36" xfId="0" applyNumberFormat="1" applyFont="1" applyBorder="1" applyAlignment="1">
      <alignment vertical="center"/>
    </xf>
    <xf numFmtId="165" fontId="26" fillId="0" borderId="11" xfId="3" applyFont="1" applyBorder="1" applyAlignment="1">
      <alignment vertical="center"/>
    </xf>
    <xf numFmtId="165" fontId="26" fillId="0" borderId="5" xfId="3" applyFont="1" applyBorder="1" applyAlignment="1">
      <alignment vertical="center"/>
    </xf>
    <xf numFmtId="0" fontId="27" fillId="0" borderId="38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43" fillId="0" borderId="23" xfId="0" applyFont="1" applyBorder="1" applyAlignment="1">
      <alignment horizontal="center" vertical="center"/>
    </xf>
    <xf numFmtId="0" fontId="43" fillId="7" borderId="1" xfId="0" applyFont="1" applyFill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165" fontId="26" fillId="0" borderId="9" xfId="3" applyFont="1" applyBorder="1" applyAlignment="1">
      <alignment horizontal="center" vertical="center"/>
    </xf>
    <xf numFmtId="0" fontId="36" fillId="2" borderId="17" xfId="0" applyFont="1" applyFill="1" applyBorder="1" applyAlignment="1">
      <alignment horizontal="center" vertical="center" wrapText="1"/>
    </xf>
    <xf numFmtId="167" fontId="29" fillId="0" borderId="1" xfId="3" applyNumberFormat="1" applyFont="1" applyBorder="1" applyAlignment="1">
      <alignment horizontal="center" vertical="center"/>
    </xf>
    <xf numFmtId="166" fontId="26" fillId="0" borderId="1" xfId="3" applyNumberFormat="1" applyFont="1" applyBorder="1" applyAlignment="1">
      <alignment horizontal="center" vertical="center"/>
    </xf>
    <xf numFmtId="167" fontId="26" fillId="0" borderId="1" xfId="3" applyNumberFormat="1" applyFont="1" applyBorder="1" applyAlignment="1">
      <alignment horizontal="center" vertical="center"/>
    </xf>
    <xf numFmtId="167" fontId="29" fillId="0" borderId="2" xfId="3" applyNumberFormat="1" applyFont="1" applyBorder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24" fillId="0" borderId="0" xfId="0" applyFont="1"/>
    <xf numFmtId="0" fontId="26" fillId="0" borderId="52" xfId="0" applyFont="1" applyBorder="1" applyAlignment="1">
      <alignment vertical="center"/>
    </xf>
    <xf numFmtId="0" fontId="26" fillId="0" borderId="52" xfId="0" applyFont="1" applyBorder="1" applyAlignment="1">
      <alignment horizontal="center" vertical="center"/>
    </xf>
    <xf numFmtId="165" fontId="26" fillId="0" borderId="52" xfId="3" applyFont="1" applyBorder="1" applyAlignment="1">
      <alignment horizontal="center" vertical="center"/>
    </xf>
    <xf numFmtId="165" fontId="26" fillId="0" borderId="52" xfId="3" applyFont="1" applyFill="1" applyBorder="1" applyAlignment="1">
      <alignment horizontal="center" vertical="center"/>
    </xf>
    <xf numFmtId="4" fontId="24" fillId="0" borderId="0" xfId="0" applyNumberFormat="1" applyFont="1" applyAlignment="1">
      <alignment vertical="center"/>
    </xf>
    <xf numFmtId="0" fontId="30" fillId="0" borderId="23" xfId="0" applyFont="1" applyBorder="1"/>
    <xf numFmtId="0" fontId="30" fillId="0" borderId="1" xfId="0" applyFont="1" applyBorder="1"/>
    <xf numFmtId="0" fontId="30" fillId="0" borderId="20" xfId="0" applyFont="1" applyBorder="1"/>
    <xf numFmtId="0" fontId="28" fillId="0" borderId="1" xfId="0" applyFont="1" applyBorder="1"/>
    <xf numFmtId="169" fontId="28" fillId="0" borderId="20" xfId="0" applyNumberFormat="1" applyFont="1" applyBorder="1"/>
    <xf numFmtId="2" fontId="28" fillId="0" borderId="20" xfId="0" applyNumberFormat="1" applyFont="1" applyBorder="1"/>
    <xf numFmtId="0" fontId="28" fillId="0" borderId="24" xfId="0" applyFont="1" applyBorder="1"/>
    <xf numFmtId="0" fontId="28" fillId="0" borderId="36" xfId="0" applyFont="1" applyBorder="1"/>
    <xf numFmtId="169" fontId="28" fillId="3" borderId="20" xfId="0" applyNumberFormat="1" applyFont="1" applyFill="1" applyBorder="1"/>
    <xf numFmtId="169" fontId="28" fillId="0" borderId="37" xfId="0" applyNumberFormat="1" applyFont="1" applyBorder="1"/>
    <xf numFmtId="0" fontId="38" fillId="0" borderId="1" xfId="0" applyFont="1" applyBorder="1" applyAlignment="1">
      <alignment horizontal="center"/>
    </xf>
    <xf numFmtId="0" fontId="38" fillId="0" borderId="23" xfId="0" applyFont="1" applyBorder="1" applyAlignment="1">
      <alignment horizontal="center"/>
    </xf>
    <xf numFmtId="0" fontId="38" fillId="0" borderId="20" xfId="0" applyFont="1" applyBorder="1" applyAlignment="1">
      <alignment horizontal="center"/>
    </xf>
    <xf numFmtId="0" fontId="28" fillId="0" borderId="23" xfId="0" applyFont="1" applyBorder="1" applyAlignment="1">
      <alignment horizontal="right"/>
    </xf>
    <xf numFmtId="4" fontId="48" fillId="0" borderId="0" xfId="0" applyNumberFormat="1" applyFont="1" applyAlignment="1">
      <alignment vertical="center"/>
    </xf>
    <xf numFmtId="4" fontId="49" fillId="0" borderId="0" xfId="0" applyNumberFormat="1" applyFont="1" applyAlignment="1">
      <alignment vertical="center"/>
    </xf>
    <xf numFmtId="0" fontId="24" fillId="0" borderId="2" xfId="0" applyFont="1" applyBorder="1" applyAlignment="1">
      <alignment vertical="center"/>
    </xf>
    <xf numFmtId="169" fontId="28" fillId="0" borderId="0" xfId="0" applyNumberFormat="1" applyFont="1"/>
    <xf numFmtId="165" fontId="24" fillId="3" borderId="2" xfId="3" applyFont="1" applyFill="1" applyBorder="1" applyAlignment="1">
      <alignment horizontal="center" vertical="center"/>
    </xf>
    <xf numFmtId="10" fontId="26" fillId="3" borderId="7" xfId="2" applyNumberFormat="1" applyFont="1" applyFill="1" applyBorder="1" applyAlignment="1">
      <alignment vertical="center"/>
    </xf>
    <xf numFmtId="172" fontId="29" fillId="0" borderId="1" xfId="3" applyNumberFormat="1" applyFont="1" applyBorder="1" applyAlignment="1">
      <alignment vertical="center"/>
    </xf>
    <xf numFmtId="0" fontId="51" fillId="0" borderId="0" xfId="25" applyFont="1"/>
    <xf numFmtId="0" fontId="22" fillId="0" borderId="0" xfId="25"/>
    <xf numFmtId="0" fontId="51" fillId="0" borderId="1" xfId="25" applyFont="1" applyBorder="1"/>
    <xf numFmtId="0" fontId="22" fillId="0" borderId="8" xfId="25" applyBorder="1"/>
    <xf numFmtId="0" fontId="22" fillId="0" borderId="9" xfId="25" applyBorder="1"/>
    <xf numFmtId="0" fontId="22" fillId="0" borderId="1" xfId="25" applyBorder="1"/>
    <xf numFmtId="0" fontId="51" fillId="0" borderId="8" xfId="25" applyFont="1" applyBorder="1"/>
    <xf numFmtId="0" fontId="51" fillId="0" borderId="9" xfId="25" applyFont="1" applyBorder="1"/>
    <xf numFmtId="10" fontId="51" fillId="0" borderId="1" xfId="2" applyNumberFormat="1" applyFont="1" applyBorder="1"/>
    <xf numFmtId="165" fontId="0" fillId="3" borderId="1" xfId="3" applyFont="1" applyFill="1" applyBorder="1"/>
    <xf numFmtId="13" fontId="24" fillId="3" borderId="1" xfId="0" applyNumberFormat="1" applyFont="1" applyFill="1" applyBorder="1" applyAlignment="1">
      <alignment vertical="center"/>
    </xf>
    <xf numFmtId="0" fontId="24" fillId="0" borderId="1" xfId="0" applyFont="1" applyBorder="1" applyAlignment="1">
      <alignment vertical="center"/>
    </xf>
    <xf numFmtId="165" fontId="22" fillId="0" borderId="1" xfId="3" applyFont="1" applyBorder="1"/>
    <xf numFmtId="165" fontId="51" fillId="0" borderId="1" xfId="3" applyFont="1" applyBorder="1"/>
    <xf numFmtId="165" fontId="29" fillId="0" borderId="0" xfId="0" applyNumberFormat="1" applyFont="1" applyAlignment="1">
      <alignment vertical="center"/>
    </xf>
    <xf numFmtId="4" fontId="27" fillId="0" borderId="0" xfId="0" applyNumberFormat="1" applyFont="1" applyAlignment="1">
      <alignment vertical="center"/>
    </xf>
    <xf numFmtId="4" fontId="29" fillId="3" borderId="1" xfId="0" applyNumberFormat="1" applyFont="1" applyFill="1" applyBorder="1" applyAlignment="1">
      <alignment vertical="center"/>
    </xf>
    <xf numFmtId="165" fontId="24" fillId="0" borderId="0" xfId="3" applyFont="1" applyAlignment="1">
      <alignment vertical="center"/>
    </xf>
    <xf numFmtId="165" fontId="24" fillId="0" borderId="1" xfId="3" applyFont="1" applyBorder="1" applyAlignment="1">
      <alignment horizontal="center" vertical="center"/>
    </xf>
    <xf numFmtId="165" fontId="24" fillId="0" borderId="0" xfId="3" applyFont="1" applyAlignment="1">
      <alignment horizontal="right" vertical="center"/>
    </xf>
    <xf numFmtId="166" fontId="24" fillId="0" borderId="1" xfId="3" applyNumberFormat="1" applyFont="1" applyBorder="1" applyAlignment="1">
      <alignment horizontal="center" vertical="center"/>
    </xf>
    <xf numFmtId="165" fontId="24" fillId="3" borderId="1" xfId="3" applyFont="1" applyFill="1" applyBorder="1" applyAlignment="1">
      <alignment horizontal="center" vertical="center"/>
    </xf>
    <xf numFmtId="167" fontId="24" fillId="0" borderId="1" xfId="3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65" fontId="0" fillId="0" borderId="1" xfId="3" applyFont="1" applyBorder="1"/>
    <xf numFmtId="0" fontId="26" fillId="0" borderId="1" xfId="0" applyFont="1" applyBorder="1"/>
    <xf numFmtId="165" fontId="26" fillId="0" borderId="1" xfId="3" applyFont="1" applyBorder="1"/>
    <xf numFmtId="0" fontId="24" fillId="0" borderId="1" xfId="0" applyFont="1" applyBorder="1"/>
    <xf numFmtId="165" fontId="0" fillId="0" borderId="0" xfId="3" applyFont="1"/>
    <xf numFmtId="165" fontId="0" fillId="0" borderId="0" xfId="0" applyNumberFormat="1"/>
    <xf numFmtId="174" fontId="22" fillId="0" borderId="0" xfId="25" applyNumberFormat="1"/>
    <xf numFmtId="172" fontId="29" fillId="0" borderId="0" xfId="3" applyNumberFormat="1" applyFont="1" applyAlignment="1">
      <alignment vertical="center"/>
    </xf>
    <xf numFmtId="0" fontId="24" fillId="0" borderId="1" xfId="0" applyFont="1" applyBorder="1" applyAlignment="1">
      <alignment horizontal="center" vertical="center"/>
    </xf>
    <xf numFmtId="172" fontId="29" fillId="0" borderId="0" xfId="3" applyNumberFormat="1" applyFont="1" applyBorder="1" applyAlignment="1">
      <alignment vertical="center"/>
    </xf>
    <xf numFmtId="1" fontId="24" fillId="0" borderId="1" xfId="3" applyNumberFormat="1" applyFont="1" applyFill="1" applyBorder="1" applyAlignment="1">
      <alignment horizontal="center" vertical="center"/>
    </xf>
    <xf numFmtId="44" fontId="24" fillId="3" borderId="1" xfId="6" applyFont="1" applyFill="1" applyBorder="1" applyAlignment="1">
      <alignment horizontal="center" vertical="center"/>
    </xf>
    <xf numFmtId="44" fontId="24" fillId="3" borderId="1" xfId="6" applyFont="1" applyFill="1" applyBorder="1" applyAlignment="1">
      <alignment vertical="center"/>
    </xf>
    <xf numFmtId="0" fontId="25" fillId="0" borderId="54" xfId="0" applyFont="1" applyBorder="1" applyAlignment="1">
      <alignment vertical="center"/>
    </xf>
    <xf numFmtId="44" fontId="26" fillId="2" borderId="4" xfId="6" applyFont="1" applyFill="1" applyBorder="1" applyAlignment="1">
      <alignment vertical="center"/>
    </xf>
    <xf numFmtId="4" fontId="24" fillId="3" borderId="1" xfId="0" applyNumberFormat="1" applyFont="1" applyFill="1" applyBorder="1" applyAlignment="1">
      <alignment horizontal="center" vertical="center"/>
    </xf>
    <xf numFmtId="175" fontId="26" fillId="0" borderId="0" xfId="3" applyNumberFormat="1" applyFont="1" applyAlignment="1">
      <alignment vertical="center"/>
    </xf>
    <xf numFmtId="172" fontId="24" fillId="0" borderId="1" xfId="3" applyNumberFormat="1" applyFont="1" applyBorder="1" applyAlignment="1">
      <alignment vertical="center"/>
    </xf>
    <xf numFmtId="2" fontId="22" fillId="0" borderId="1" xfId="25" applyNumberFormat="1" applyBorder="1"/>
    <xf numFmtId="0" fontId="26" fillId="0" borderId="0" xfId="9" applyFont="1" applyAlignment="1">
      <alignment vertical="center"/>
    </xf>
    <xf numFmtId="0" fontId="24" fillId="0" borderId="0" xfId="9" applyAlignment="1">
      <alignment vertical="center"/>
    </xf>
    <xf numFmtId="4" fontId="24" fillId="0" borderId="0" xfId="9" applyNumberFormat="1" applyAlignment="1">
      <alignment vertical="center"/>
    </xf>
    <xf numFmtId="0" fontId="28" fillId="0" borderId="0" xfId="9" applyFont="1" applyAlignment="1">
      <alignment vertical="center"/>
    </xf>
    <xf numFmtId="0" fontId="24" fillId="0" borderId="38" xfId="9" applyBorder="1" applyAlignment="1">
      <alignment vertical="center"/>
    </xf>
    <xf numFmtId="168" fontId="26" fillId="0" borderId="1" xfId="9" applyNumberFormat="1" applyFont="1" applyBorder="1" applyAlignment="1">
      <alignment vertical="center"/>
    </xf>
    <xf numFmtId="4" fontId="26" fillId="0" borderId="9" xfId="9" applyNumberFormat="1" applyFont="1" applyBorder="1" applyAlignment="1">
      <alignment horizontal="centerContinuous" vertical="center"/>
    </xf>
    <xf numFmtId="168" fontId="26" fillId="0" borderId="36" xfId="9" applyNumberFormat="1" applyFont="1" applyBorder="1" applyAlignment="1">
      <alignment vertical="center"/>
    </xf>
    <xf numFmtId="4" fontId="26" fillId="0" borderId="6" xfId="9" applyNumberFormat="1" applyFont="1" applyBorder="1" applyAlignment="1">
      <alignment horizontal="centerContinuous" vertical="center"/>
    </xf>
    <xf numFmtId="164" fontId="26" fillId="0" borderId="34" xfId="9" applyNumberFormat="1" applyFont="1" applyBorder="1" applyAlignment="1">
      <alignment vertical="center"/>
    </xf>
    <xf numFmtId="0" fontId="36" fillId="2" borderId="16" xfId="9" applyFont="1" applyFill="1" applyBorder="1" applyAlignment="1">
      <alignment horizontal="center" vertical="center"/>
    </xf>
    <xf numFmtId="0" fontId="36" fillId="2" borderId="17" xfId="9" applyFont="1" applyFill="1" applyBorder="1" applyAlignment="1">
      <alignment horizontal="center" vertical="center"/>
    </xf>
    <xf numFmtId="0" fontId="24" fillId="0" borderId="2" xfId="9" applyBorder="1" applyAlignment="1">
      <alignment vertical="center"/>
    </xf>
    <xf numFmtId="0" fontId="24" fillId="0" borderId="2" xfId="9" applyBorder="1" applyAlignment="1">
      <alignment horizontal="center" vertical="center"/>
    </xf>
    <xf numFmtId="165" fontId="24" fillId="0" borderId="2" xfId="3" applyFont="1" applyBorder="1" applyAlignment="1">
      <alignment horizontal="center" vertical="center"/>
    </xf>
    <xf numFmtId="0" fontId="24" fillId="0" borderId="1" xfId="9" applyBorder="1" applyAlignment="1">
      <alignment vertical="center"/>
    </xf>
    <xf numFmtId="0" fontId="24" fillId="0" borderId="1" xfId="9" applyBorder="1" applyAlignment="1">
      <alignment horizontal="center" vertical="center"/>
    </xf>
    <xf numFmtId="165" fontId="24" fillId="6" borderId="1" xfId="3" applyFont="1" applyFill="1" applyBorder="1" applyAlignment="1">
      <alignment horizontal="center" vertical="center"/>
    </xf>
    <xf numFmtId="0" fontId="26" fillId="0" borderId="5" xfId="9" applyFont="1" applyBorder="1" applyAlignment="1">
      <alignment vertical="center"/>
    </xf>
    <xf numFmtId="0" fontId="26" fillId="0" borderId="6" xfId="9" applyFont="1" applyBorder="1" applyAlignment="1">
      <alignment vertical="center"/>
    </xf>
    <xf numFmtId="0" fontId="24" fillId="0" borderId="6" xfId="9" applyBorder="1" applyAlignment="1">
      <alignment vertical="center"/>
    </xf>
    <xf numFmtId="165" fontId="24" fillId="0" borderId="6" xfId="3" applyFont="1" applyBorder="1" applyAlignment="1">
      <alignment vertical="center"/>
    </xf>
    <xf numFmtId="165" fontId="24" fillId="0" borderId="7" xfId="3" applyFont="1" applyBorder="1" applyAlignment="1">
      <alignment vertical="center"/>
    </xf>
    <xf numFmtId="165" fontId="24" fillId="0" borderId="0" xfId="3" applyFont="1" applyFill="1" applyAlignment="1">
      <alignment vertical="center"/>
    </xf>
    <xf numFmtId="43" fontId="24" fillId="3" borderId="1" xfId="9" applyNumberFormat="1" applyFill="1" applyBorder="1" applyAlignment="1">
      <alignment vertical="center"/>
    </xf>
    <xf numFmtId="165" fontId="24" fillId="0" borderId="0" xfId="3" applyFont="1" applyFill="1" applyBorder="1" applyAlignment="1">
      <alignment horizontal="center" vertical="center"/>
    </xf>
    <xf numFmtId="0" fontId="26" fillId="0" borderId="25" xfId="9" applyFont="1" applyBorder="1" applyAlignment="1">
      <alignment vertical="center"/>
    </xf>
    <xf numFmtId="0" fontId="24" fillId="0" borderId="26" xfId="9" applyBorder="1" applyAlignment="1">
      <alignment vertical="center"/>
    </xf>
    <xf numFmtId="165" fontId="24" fillId="0" borderId="26" xfId="3" applyFont="1" applyBorder="1" applyAlignment="1">
      <alignment vertical="center"/>
    </xf>
    <xf numFmtId="165" fontId="24" fillId="0" borderId="27" xfId="3" applyFont="1" applyBorder="1" applyAlignment="1">
      <alignment vertical="center"/>
    </xf>
    <xf numFmtId="165" fontId="26" fillId="2" borderId="49" xfId="3" applyFont="1" applyFill="1" applyBorder="1" applyAlignment="1">
      <alignment vertical="center"/>
    </xf>
    <xf numFmtId="0" fontId="27" fillId="0" borderId="8" xfId="9" applyFont="1" applyBorder="1" applyAlignment="1">
      <alignment vertical="center"/>
    </xf>
    <xf numFmtId="0" fontId="27" fillId="0" borderId="9" xfId="9" applyFont="1" applyBorder="1" applyAlignment="1">
      <alignment vertical="center"/>
    </xf>
    <xf numFmtId="43" fontId="27" fillId="0" borderId="9" xfId="9" applyNumberFormat="1" applyFont="1" applyBorder="1" applyAlignment="1">
      <alignment vertical="center"/>
    </xf>
    <xf numFmtId="165" fontId="27" fillId="0" borderId="9" xfId="3" applyFont="1" applyFill="1" applyBorder="1" applyAlignment="1">
      <alignment vertical="center"/>
    </xf>
    <xf numFmtId="165" fontId="27" fillId="0" borderId="10" xfId="3" applyFont="1" applyBorder="1" applyAlignment="1">
      <alignment vertical="center"/>
    </xf>
    <xf numFmtId="0" fontId="52" fillId="0" borderId="0" xfId="51" applyFont="1"/>
    <xf numFmtId="0" fontId="10" fillId="0" borderId="0" xfId="51"/>
    <xf numFmtId="0" fontId="51" fillId="0" borderId="0" xfId="51" applyFont="1"/>
    <xf numFmtId="0" fontId="10" fillId="0" borderId="1" xfId="51" applyBorder="1"/>
    <xf numFmtId="0" fontId="8" fillId="0" borderId="0" xfId="58"/>
    <xf numFmtId="0" fontId="51" fillId="0" borderId="16" xfId="58" applyFont="1" applyBorder="1" applyAlignment="1">
      <alignment horizontal="center" vertical="center"/>
    </xf>
    <xf numFmtId="0" fontId="51" fillId="0" borderId="17" xfId="58" applyFont="1" applyBorder="1" applyAlignment="1">
      <alignment horizontal="center" vertical="center"/>
    </xf>
    <xf numFmtId="0" fontId="8" fillId="0" borderId="22" xfId="58" applyBorder="1" applyAlignment="1">
      <alignment horizontal="center"/>
    </xf>
    <xf numFmtId="0" fontId="8" fillId="0" borderId="36" xfId="58" applyBorder="1" applyAlignment="1">
      <alignment horizontal="center"/>
    </xf>
    <xf numFmtId="0" fontId="51" fillId="0" borderId="17" xfId="58" applyFont="1" applyBorder="1" applyAlignment="1">
      <alignment horizontal="center" vertical="center" wrapText="1"/>
    </xf>
    <xf numFmtId="0" fontId="51" fillId="0" borderId="18" xfId="58" applyFont="1" applyBorder="1" applyAlignment="1">
      <alignment horizontal="center" vertical="center" wrapText="1"/>
    </xf>
    <xf numFmtId="2" fontId="51" fillId="0" borderId="1" xfId="25" applyNumberFormat="1" applyFont="1" applyBorder="1"/>
    <xf numFmtId="0" fontId="7" fillId="0" borderId="0" xfId="59"/>
    <xf numFmtId="0" fontId="7" fillId="0" borderId="0" xfId="59" applyAlignment="1">
      <alignment horizontal="center"/>
    </xf>
    <xf numFmtId="0" fontId="0" fillId="0" borderId="23" xfId="0" applyBorder="1" applyAlignment="1">
      <alignment horizontal="center"/>
    </xf>
    <xf numFmtId="4" fontId="0" fillId="0" borderId="1" xfId="3" applyNumberFormat="1" applyFont="1" applyBorder="1" applyAlignment="1">
      <alignment horizontal="right"/>
    </xf>
    <xf numFmtId="4" fontId="0" fillId="0" borderId="1" xfId="0" applyNumberFormat="1" applyBorder="1"/>
    <xf numFmtId="2" fontId="0" fillId="0" borderId="23" xfId="0" applyNumberFormat="1" applyBorder="1" applyAlignment="1">
      <alignment horizontal="center"/>
    </xf>
    <xf numFmtId="0" fontId="0" fillId="0" borderId="8" xfId="0" applyBorder="1" applyAlignment="1">
      <alignment horizontal="center" vertical="center"/>
    </xf>
    <xf numFmtId="1" fontId="0" fillId="0" borderId="8" xfId="0" applyNumberFormat="1" applyBorder="1" applyAlignment="1">
      <alignment horizontal="right" vertical="center"/>
    </xf>
    <xf numFmtId="0" fontId="0" fillId="0" borderId="10" xfId="0" applyBorder="1" applyAlignment="1">
      <alignment horizontal="left" vertical="center"/>
    </xf>
    <xf numFmtId="2" fontId="0" fillId="0" borderId="10" xfId="0" applyNumberFormat="1" applyBorder="1"/>
    <xf numFmtId="2" fontId="0" fillId="0" borderId="20" xfId="0" applyNumberFormat="1" applyBorder="1"/>
    <xf numFmtId="2" fontId="51" fillId="0" borderId="1" xfId="0" applyNumberFormat="1" applyFont="1" applyBorder="1"/>
    <xf numFmtId="2" fontId="51" fillId="0" borderId="20" xfId="0" applyNumberFormat="1" applyFont="1" applyBorder="1"/>
    <xf numFmtId="4" fontId="51" fillId="0" borderId="36" xfId="0" applyNumberFormat="1" applyFont="1" applyBorder="1"/>
    <xf numFmtId="2" fontId="51" fillId="0" borderId="37" xfId="0" applyNumberFormat="1" applyFont="1" applyBorder="1"/>
    <xf numFmtId="2" fontId="51" fillId="0" borderId="31" xfId="0" applyNumberFormat="1" applyFont="1" applyBorder="1"/>
    <xf numFmtId="172" fontId="0" fillId="0" borderId="0" xfId="3" applyNumberFormat="1" applyFont="1" applyAlignment="1">
      <alignment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2" xfId="0" applyBorder="1" applyAlignment="1">
      <alignment horizontal="center"/>
    </xf>
    <xf numFmtId="20" fontId="6" fillId="0" borderId="22" xfId="58" applyNumberFormat="1" applyFont="1" applyBorder="1"/>
    <xf numFmtId="20" fontId="6" fillId="0" borderId="36" xfId="58" applyNumberFormat="1" applyFont="1" applyBorder="1"/>
    <xf numFmtId="0" fontId="6" fillId="0" borderId="22" xfId="58" applyFont="1" applyBorder="1"/>
    <xf numFmtId="0" fontId="6" fillId="0" borderId="36" xfId="58" applyFont="1" applyBorder="1"/>
    <xf numFmtId="4" fontId="0" fillId="0" borderId="0" xfId="3" applyNumberFormat="1" applyFont="1" applyBorder="1" applyAlignment="1">
      <alignment horizontal="right"/>
    </xf>
    <xf numFmtId="2" fontId="0" fillId="0" borderId="9" xfId="0" applyNumberFormat="1" applyBorder="1" applyAlignment="1">
      <alignment horizontal="center"/>
    </xf>
    <xf numFmtId="0" fontId="53" fillId="0" borderId="0" xfId="59" applyFont="1"/>
    <xf numFmtId="2" fontId="24" fillId="0" borderId="23" xfId="0" applyNumberFormat="1" applyFont="1" applyBorder="1" applyAlignment="1">
      <alignment horizontal="center"/>
    </xf>
    <xf numFmtId="0" fontId="3" fillId="0" borderId="0" xfId="59" applyFont="1"/>
    <xf numFmtId="0" fontId="51" fillId="0" borderId="0" xfId="0" applyFont="1"/>
    <xf numFmtId="176" fontId="44" fillId="0" borderId="20" xfId="3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left"/>
    </xf>
    <xf numFmtId="4" fontId="51" fillId="0" borderId="17" xfId="3" applyNumberFormat="1" applyFont="1" applyBorder="1" applyAlignment="1">
      <alignment horizontal="right"/>
    </xf>
    <xf numFmtId="0" fontId="51" fillId="0" borderId="18" xfId="0" applyFont="1" applyBorder="1" applyAlignment="1">
      <alignment horizontal="left"/>
    </xf>
    <xf numFmtId="0" fontId="26" fillId="0" borderId="0" xfId="0" applyFont="1" applyAlignment="1">
      <alignment horizontal="right"/>
    </xf>
    <xf numFmtId="4" fontId="51" fillId="0" borderId="0" xfId="3" applyNumberFormat="1" applyFont="1" applyBorder="1" applyAlignment="1">
      <alignment horizontal="right"/>
    </xf>
    <xf numFmtId="4" fontId="51" fillId="0" borderId="36" xfId="3" applyNumberFormat="1" applyFont="1" applyBorder="1"/>
    <xf numFmtId="0" fontId="51" fillId="0" borderId="37" xfId="0" applyFont="1" applyBorder="1" applyAlignment="1">
      <alignment horizontal="left"/>
    </xf>
    <xf numFmtId="20" fontId="22" fillId="0" borderId="0" xfId="25" applyNumberFormat="1"/>
    <xf numFmtId="165" fontId="22" fillId="0" borderId="0" xfId="3" applyFont="1"/>
    <xf numFmtId="0" fontId="54" fillId="0" borderId="1" xfId="51" applyFont="1" applyBorder="1"/>
    <xf numFmtId="0" fontId="52" fillId="0" borderId="1" xfId="51" applyFont="1" applyBorder="1"/>
    <xf numFmtId="0" fontId="54" fillId="0" borderId="0" xfId="51" applyFont="1"/>
    <xf numFmtId="0" fontId="55" fillId="0" borderId="1" xfId="51" applyFont="1" applyBorder="1"/>
    <xf numFmtId="165" fontId="56" fillId="0" borderId="1" xfId="3" applyFont="1" applyBorder="1"/>
    <xf numFmtId="43" fontId="56" fillId="0" borderId="1" xfId="51" applyNumberFormat="1" applyFont="1" applyBorder="1"/>
    <xf numFmtId="0" fontId="51" fillId="0" borderId="1" xfId="51" applyFont="1" applyBorder="1"/>
    <xf numFmtId="0" fontId="57" fillId="11" borderId="1" xfId="0" applyFont="1" applyFill="1" applyBorder="1" applyAlignment="1">
      <alignment horizontal="center" vertical="center" wrapText="1"/>
    </xf>
    <xf numFmtId="17" fontId="57" fillId="0" borderId="1" xfId="0" applyNumberFormat="1" applyFont="1" applyBorder="1" applyAlignment="1">
      <alignment horizontal="center" vertical="center" wrapText="1"/>
    </xf>
    <xf numFmtId="165" fontId="57" fillId="0" borderId="1" xfId="3" applyFont="1" applyBorder="1" applyAlignment="1">
      <alignment horizontal="center" vertical="center" wrapText="1"/>
    </xf>
    <xf numFmtId="17" fontId="57" fillId="0" borderId="1" xfId="0" applyNumberFormat="1" applyFont="1" applyBorder="1" applyAlignment="1">
      <alignment vertical="center" wrapText="1"/>
    </xf>
    <xf numFmtId="0" fontId="58" fillId="0" borderId="1" xfId="51" applyFont="1" applyBorder="1"/>
    <xf numFmtId="43" fontId="22" fillId="0" borderId="0" xfId="25" applyNumberFormat="1"/>
    <xf numFmtId="2" fontId="7" fillId="0" borderId="0" xfId="59" applyNumberFormat="1"/>
    <xf numFmtId="4" fontId="51" fillId="0" borderId="56" xfId="0" applyNumberFormat="1" applyFont="1" applyBorder="1"/>
    <xf numFmtId="176" fontId="22" fillId="0" borderId="0" xfId="25" applyNumberFormat="1"/>
    <xf numFmtId="4" fontId="0" fillId="0" borderId="59" xfId="3" applyNumberFormat="1" applyFont="1" applyBorder="1" applyAlignment="1">
      <alignment horizontal="right"/>
    </xf>
    <xf numFmtId="0" fontId="51" fillId="0" borderId="0" xfId="58" applyFont="1" applyAlignment="1">
      <alignment horizontal="center" vertical="center"/>
    </xf>
    <xf numFmtId="0" fontId="8" fillId="0" borderId="0" xfId="58" applyAlignment="1">
      <alignment horizontal="center" vertical="center"/>
    </xf>
    <xf numFmtId="0" fontId="8" fillId="0" borderId="0" xfId="58" applyAlignment="1">
      <alignment horizontal="center" vertical="center" wrapText="1"/>
    </xf>
    <xf numFmtId="0" fontId="8" fillId="0" borderId="0" xfId="58" applyAlignment="1">
      <alignment horizontal="center"/>
    </xf>
    <xf numFmtId="0" fontId="6" fillId="0" borderId="0" xfId="58" applyFont="1"/>
    <xf numFmtId="20" fontId="6" fillId="0" borderId="0" xfId="58" applyNumberFormat="1" applyFont="1"/>
    <xf numFmtId="43" fontId="10" fillId="0" borderId="0" xfId="51" applyNumberFormat="1"/>
    <xf numFmtId="4" fontId="7" fillId="0" borderId="0" xfId="59" applyNumberFormat="1"/>
    <xf numFmtId="166" fontId="24" fillId="0" borderId="1" xfId="3" applyNumberFormat="1" applyFont="1" applyFill="1" applyBorder="1" applyAlignment="1">
      <alignment vertical="center"/>
    </xf>
    <xf numFmtId="165" fontId="24" fillId="0" borderId="1" xfId="3" applyFont="1" applyBorder="1" applyAlignment="1">
      <alignment vertical="center"/>
    </xf>
    <xf numFmtId="20" fontId="8" fillId="0" borderId="0" xfId="58" applyNumberFormat="1"/>
    <xf numFmtId="0" fontId="24" fillId="0" borderId="2" xfId="0" applyFont="1" applyBorder="1" applyAlignment="1">
      <alignment horizontal="center" vertical="center"/>
    </xf>
    <xf numFmtId="13" fontId="24" fillId="3" borderId="2" xfId="0" applyNumberFormat="1" applyFont="1" applyFill="1" applyBorder="1" applyAlignment="1">
      <alignment vertical="center"/>
    </xf>
    <xf numFmtId="0" fontId="24" fillId="0" borderId="1" xfId="0" applyFont="1" applyBorder="1" applyAlignment="1">
      <alignment horizontal="center"/>
    </xf>
    <xf numFmtId="43" fontId="0" fillId="0" borderId="0" xfId="0" applyNumberFormat="1"/>
    <xf numFmtId="2" fontId="29" fillId="0" borderId="1" xfId="0" applyNumberFormat="1" applyFont="1" applyBorder="1" applyAlignment="1">
      <alignment horizontal="center" vertical="center"/>
    </xf>
    <xf numFmtId="0" fontId="27" fillId="0" borderId="0" xfId="0" applyFont="1"/>
    <xf numFmtId="0" fontId="26" fillId="0" borderId="32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165" fontId="26" fillId="0" borderId="14" xfId="3" applyFont="1" applyBorder="1" applyAlignment="1">
      <alignment horizontal="left" vertical="center"/>
    </xf>
    <xf numFmtId="165" fontId="26" fillId="0" borderId="9" xfId="3" applyFont="1" applyBorder="1" applyAlignment="1">
      <alignment horizontal="left" vertical="center"/>
    </xf>
    <xf numFmtId="0" fontId="38" fillId="8" borderId="25" xfId="0" applyFont="1" applyFill="1" applyBorder="1" applyAlignment="1">
      <alignment horizontal="center" vertical="center"/>
    </xf>
    <xf numFmtId="0" fontId="38" fillId="8" borderId="26" xfId="0" applyFont="1" applyFill="1" applyBorder="1" applyAlignment="1">
      <alignment horizontal="center" vertical="center"/>
    </xf>
    <xf numFmtId="0" fontId="38" fillId="8" borderId="27" xfId="0" applyFont="1" applyFill="1" applyBorder="1" applyAlignment="1">
      <alignment horizontal="center" vertical="center"/>
    </xf>
    <xf numFmtId="0" fontId="30" fillId="8" borderId="44" xfId="0" applyFont="1" applyFill="1" applyBorder="1" applyAlignment="1">
      <alignment horizontal="center" vertical="center"/>
    </xf>
    <xf numFmtId="0" fontId="30" fillId="8" borderId="42" xfId="0" applyFont="1" applyFill="1" applyBorder="1" applyAlignment="1">
      <alignment horizontal="center" vertical="center"/>
    </xf>
    <xf numFmtId="0" fontId="30" fillId="8" borderId="45" xfId="0" applyFont="1" applyFill="1" applyBorder="1" applyAlignment="1">
      <alignment horizontal="center" vertical="center"/>
    </xf>
    <xf numFmtId="165" fontId="26" fillId="0" borderId="5" xfId="3" applyFont="1" applyBorder="1" applyAlignment="1">
      <alignment horizontal="center" vertical="center"/>
    </xf>
    <xf numFmtId="165" fontId="26" fillId="0" borderId="6" xfId="3" applyFont="1" applyBorder="1" applyAlignment="1">
      <alignment horizontal="center" vertical="center"/>
    </xf>
    <xf numFmtId="165" fontId="26" fillId="0" borderId="43" xfId="3" applyFont="1" applyBorder="1" applyAlignment="1">
      <alignment horizontal="center" vertical="center"/>
    </xf>
    <xf numFmtId="165" fontId="27" fillId="8" borderId="5" xfId="3" applyFont="1" applyFill="1" applyBorder="1" applyAlignment="1">
      <alignment horizontal="center" vertical="center"/>
    </xf>
    <xf numFmtId="165" fontId="27" fillId="8" borderId="6" xfId="3" applyFont="1" applyFill="1" applyBorder="1" applyAlignment="1">
      <alignment horizontal="center" vertical="center"/>
    </xf>
    <xf numFmtId="165" fontId="27" fillId="8" borderId="7" xfId="3" applyFont="1" applyFill="1" applyBorder="1" applyAlignment="1">
      <alignment horizontal="center" vertical="center"/>
    </xf>
    <xf numFmtId="0" fontId="38" fillId="8" borderId="25" xfId="9" applyFont="1" applyFill="1" applyBorder="1" applyAlignment="1">
      <alignment horizontal="center" vertical="center"/>
    </xf>
    <xf numFmtId="0" fontId="38" fillId="8" borderId="26" xfId="9" applyFont="1" applyFill="1" applyBorder="1" applyAlignment="1">
      <alignment horizontal="center" vertical="center"/>
    </xf>
    <xf numFmtId="0" fontId="38" fillId="8" borderId="27" xfId="9" applyFont="1" applyFill="1" applyBorder="1" applyAlignment="1">
      <alignment horizontal="center" vertical="center"/>
    </xf>
    <xf numFmtId="0" fontId="30" fillId="8" borderId="44" xfId="9" applyFont="1" applyFill="1" applyBorder="1" applyAlignment="1">
      <alignment horizontal="center" vertical="center"/>
    </xf>
    <xf numFmtId="0" fontId="30" fillId="8" borderId="42" xfId="9" applyFont="1" applyFill="1" applyBorder="1" applyAlignment="1">
      <alignment horizontal="center" vertical="center"/>
    </xf>
    <xf numFmtId="0" fontId="30" fillId="8" borderId="45" xfId="9" applyFont="1" applyFill="1" applyBorder="1" applyAlignment="1">
      <alignment horizontal="center" vertical="center"/>
    </xf>
    <xf numFmtId="0" fontId="38" fillId="8" borderId="21" xfId="0" applyFont="1" applyFill="1" applyBorder="1" applyAlignment="1">
      <alignment horizontal="center" vertical="center"/>
    </xf>
    <xf numFmtId="0" fontId="38" fillId="8" borderId="22" xfId="0" applyFont="1" applyFill="1" applyBorder="1" applyAlignment="1">
      <alignment horizontal="center" vertical="center"/>
    </xf>
    <xf numFmtId="0" fontId="38" fillId="8" borderId="12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/>
    </xf>
    <xf numFmtId="9" fontId="30" fillId="0" borderId="21" xfId="2" applyFont="1" applyBorder="1" applyAlignment="1">
      <alignment horizontal="center"/>
    </xf>
    <xf numFmtId="9" fontId="30" fillId="0" borderId="22" xfId="2" applyFont="1" applyBorder="1" applyAlignment="1">
      <alignment horizontal="center"/>
    </xf>
    <xf numFmtId="9" fontId="30" fillId="0" borderId="12" xfId="2" applyFont="1" applyBorder="1" applyAlignment="1">
      <alignment horizontal="center"/>
    </xf>
    <xf numFmtId="0" fontId="27" fillId="10" borderId="25" xfId="0" applyFont="1" applyFill="1" applyBorder="1" applyAlignment="1">
      <alignment horizontal="center" vertical="center"/>
    </xf>
    <xf numFmtId="0" fontId="27" fillId="10" borderId="26" xfId="0" applyFont="1" applyFill="1" applyBorder="1" applyAlignment="1">
      <alignment horizontal="center" vertical="center"/>
    </xf>
    <xf numFmtId="0" fontId="27" fillId="10" borderId="27" xfId="0" applyFont="1" applyFill="1" applyBorder="1" applyAlignment="1">
      <alignment horizontal="center" vertical="center"/>
    </xf>
    <xf numFmtId="0" fontId="51" fillId="0" borderId="21" xfId="58" applyFont="1" applyBorder="1" applyAlignment="1">
      <alignment horizontal="center" vertical="center" wrapText="1"/>
    </xf>
    <xf numFmtId="0" fontId="51" fillId="0" borderId="24" xfId="58" applyFont="1" applyBorder="1" applyAlignment="1">
      <alignment horizontal="center" vertical="center" wrapText="1"/>
    </xf>
    <xf numFmtId="0" fontId="1" fillId="0" borderId="33" xfId="58" applyFont="1" applyBorder="1" applyAlignment="1">
      <alignment horizontal="center" vertical="center" wrapText="1"/>
    </xf>
    <xf numFmtId="0" fontId="8" fillId="0" borderId="56" xfId="58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0" fontId="51" fillId="0" borderId="5" xfId="39" applyFont="1" applyBorder="1" applyAlignment="1">
      <alignment horizontal="center" vertical="center" wrapText="1"/>
    </xf>
    <xf numFmtId="0" fontId="51" fillId="0" borderId="6" xfId="39" applyFont="1" applyBorder="1" applyAlignment="1">
      <alignment horizontal="center" vertical="center" wrapText="1"/>
    </xf>
    <xf numFmtId="0" fontId="51" fillId="0" borderId="7" xfId="39" applyFont="1" applyBorder="1" applyAlignment="1">
      <alignment horizontal="center" vertical="center" wrapText="1"/>
    </xf>
    <xf numFmtId="0" fontId="26" fillId="0" borderId="5" xfId="0" applyFont="1" applyBorder="1" applyAlignment="1">
      <alignment horizontal="right"/>
    </xf>
    <xf numFmtId="0" fontId="26" fillId="0" borderId="6" xfId="0" applyFont="1" applyBorder="1" applyAlignment="1">
      <alignment horizontal="right"/>
    </xf>
    <xf numFmtId="0" fontId="26" fillId="0" borderId="43" xfId="0" applyFont="1" applyBorder="1" applyAlignment="1">
      <alignment horizontal="right"/>
    </xf>
    <xf numFmtId="0" fontId="24" fillId="0" borderId="14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51" fillId="0" borderId="5" xfId="0" applyFont="1" applyBorder="1" applyAlignment="1">
      <alignment horizontal="center"/>
    </xf>
    <xf numFmtId="0" fontId="51" fillId="0" borderId="6" xfId="0" applyFont="1" applyBorder="1" applyAlignment="1">
      <alignment horizontal="center"/>
    </xf>
    <xf numFmtId="0" fontId="51" fillId="0" borderId="7" xfId="0" applyFont="1" applyBorder="1" applyAlignment="1">
      <alignment horizontal="center"/>
    </xf>
    <xf numFmtId="0" fontId="51" fillId="0" borderId="19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46" xfId="0" applyFont="1" applyBorder="1" applyAlignment="1">
      <alignment horizontal="center"/>
    </xf>
    <xf numFmtId="0" fontId="26" fillId="0" borderId="40" xfId="0" applyFont="1" applyBorder="1" applyAlignment="1">
      <alignment horizontal="right"/>
    </xf>
    <xf numFmtId="0" fontId="26" fillId="0" borderId="41" xfId="0" applyFont="1" applyBorder="1" applyAlignment="1">
      <alignment horizontal="right"/>
    </xf>
    <xf numFmtId="0" fontId="26" fillId="0" borderId="57" xfId="0" applyFont="1" applyBorder="1" applyAlignment="1">
      <alignment horizontal="right"/>
    </xf>
    <xf numFmtId="0" fontId="51" fillId="0" borderId="55" xfId="0" applyFont="1" applyBorder="1" applyAlignment="1">
      <alignment horizontal="center" vertical="center" wrapText="1"/>
    </xf>
    <xf numFmtId="0" fontId="51" fillId="0" borderId="60" xfId="0" applyFont="1" applyBorder="1" applyAlignment="1">
      <alignment horizontal="center" vertical="center" wrapText="1"/>
    </xf>
    <xf numFmtId="0" fontId="51" fillId="0" borderId="56" xfId="0" applyFont="1" applyBorder="1" applyAlignment="1">
      <alignment horizontal="center" vertical="center" wrapText="1"/>
    </xf>
    <xf numFmtId="2" fontId="0" fillId="0" borderId="53" xfId="0" applyNumberFormat="1" applyBorder="1" applyAlignment="1">
      <alignment horizontal="center"/>
    </xf>
    <xf numFmtId="2" fontId="0" fillId="0" borderId="54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58" xfId="0" applyNumberFormat="1" applyBorder="1" applyAlignment="1">
      <alignment horizontal="center"/>
    </xf>
    <xf numFmtId="173" fontId="51" fillId="0" borderId="25" xfId="0" applyNumberFormat="1" applyFont="1" applyBorder="1" applyAlignment="1">
      <alignment horizontal="center"/>
    </xf>
    <xf numFmtId="173" fontId="51" fillId="0" borderId="26" xfId="0" applyNumberFormat="1" applyFont="1" applyBorder="1" applyAlignment="1">
      <alignment horizontal="center"/>
    </xf>
    <xf numFmtId="173" fontId="51" fillId="0" borderId="27" xfId="0" applyNumberFormat="1" applyFont="1" applyBorder="1" applyAlignment="1">
      <alignment horizontal="center"/>
    </xf>
    <xf numFmtId="173" fontId="51" fillId="0" borderId="38" xfId="0" applyNumberFormat="1" applyFont="1" applyBorder="1" applyAlignment="1">
      <alignment horizontal="center"/>
    </xf>
    <xf numFmtId="173" fontId="51" fillId="0" borderId="0" xfId="0" applyNumberFormat="1" applyFont="1" applyAlignment="1">
      <alignment horizontal="center"/>
    </xf>
    <xf numFmtId="173" fontId="51" fillId="0" borderId="39" xfId="0" applyNumberFormat="1" applyFont="1" applyBorder="1" applyAlignment="1">
      <alignment horizontal="center"/>
    </xf>
    <xf numFmtId="0" fontId="51" fillId="0" borderId="16" xfId="0" applyFont="1" applyBorder="1" applyAlignment="1">
      <alignment horizontal="center" vertical="center" wrapText="1"/>
    </xf>
    <xf numFmtId="0" fontId="51" fillId="0" borderId="43" xfId="0" applyFont="1" applyBorder="1" applyAlignment="1">
      <alignment horizontal="center" vertical="center" wrapText="1"/>
    </xf>
    <xf numFmtId="0" fontId="51" fillId="0" borderId="17" xfId="0" applyFont="1" applyBorder="1" applyAlignment="1">
      <alignment horizontal="center" vertical="center" wrapText="1"/>
    </xf>
    <xf numFmtId="0" fontId="51" fillId="0" borderId="18" xfId="0" applyFont="1" applyBorder="1" applyAlignment="1">
      <alignment horizontal="center" vertical="center" wrapText="1"/>
    </xf>
    <xf numFmtId="2" fontId="0" fillId="0" borderId="47" xfId="0" applyNumberFormat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51" fillId="0" borderId="23" xfId="0" applyFont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 wrapText="1"/>
    </xf>
    <xf numFmtId="0" fontId="51" fillId="0" borderId="7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wrapText="1"/>
    </xf>
    <xf numFmtId="0" fontId="51" fillId="0" borderId="6" xfId="0" applyFont="1" applyBorder="1" applyAlignment="1">
      <alignment horizontal="center" wrapText="1"/>
    </xf>
    <xf numFmtId="0" fontId="51" fillId="0" borderId="7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2" fontId="0" fillId="0" borderId="33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51" fillId="0" borderId="14" xfId="0" applyFont="1" applyBorder="1" applyAlignment="1">
      <alignment horizontal="center" vertical="center" wrapText="1"/>
    </xf>
    <xf numFmtId="0" fontId="51" fillId="0" borderId="9" xfId="0" applyFont="1" applyBorder="1" applyAlignment="1">
      <alignment horizontal="center" vertical="center" wrapText="1"/>
    </xf>
    <xf numFmtId="0" fontId="51" fillId="0" borderId="40" xfId="0" applyFont="1" applyBorder="1" applyAlignment="1">
      <alignment horizontal="center" vertical="center" wrapText="1"/>
    </xf>
    <xf numFmtId="0" fontId="51" fillId="0" borderId="41" xfId="0" applyFont="1" applyBorder="1" applyAlignment="1">
      <alignment horizontal="center" vertical="center" wrapText="1"/>
    </xf>
    <xf numFmtId="0" fontId="51" fillId="0" borderId="57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2" fontId="0" fillId="0" borderId="21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2" fontId="0" fillId="0" borderId="14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61" xfId="0" applyBorder="1" applyAlignment="1">
      <alignment horizontal="center"/>
    </xf>
    <xf numFmtId="0" fontId="27" fillId="10" borderId="5" xfId="0" applyFont="1" applyFill="1" applyBorder="1" applyAlignment="1">
      <alignment horizontal="center" vertical="center"/>
    </xf>
    <xf numFmtId="0" fontId="27" fillId="10" borderId="6" xfId="0" applyFont="1" applyFill="1" applyBorder="1" applyAlignment="1">
      <alignment horizontal="center" vertical="center"/>
    </xf>
    <xf numFmtId="0" fontId="38" fillId="10" borderId="21" xfId="0" applyFont="1" applyFill="1" applyBorder="1" applyAlignment="1">
      <alignment horizontal="center"/>
    </xf>
    <xf numFmtId="0" fontId="38" fillId="10" borderId="22" xfId="0" applyFont="1" applyFill="1" applyBorder="1" applyAlignment="1">
      <alignment horizontal="center"/>
    </xf>
    <xf numFmtId="0" fontId="38" fillId="10" borderId="12" xfId="0" applyFont="1" applyFill="1" applyBorder="1" applyAlignment="1">
      <alignment horizontal="center"/>
    </xf>
  </cellXfs>
  <cellStyles count="68">
    <cellStyle name="Hiperlink" xfId="1" builtinId="8"/>
    <cellStyle name="Moeda 2" xfId="6"/>
    <cellStyle name="Moeda 3" xfId="7"/>
    <cellStyle name="Moeda 4" xfId="38"/>
    <cellStyle name="Moeda 5" xfId="43"/>
    <cellStyle name="Normal" xfId="0" builtinId="0"/>
    <cellStyle name="Normal 10" xfId="26"/>
    <cellStyle name="Normal 11" xfId="27"/>
    <cellStyle name="Normal 12" xfId="30"/>
    <cellStyle name="Normal 13" xfId="32"/>
    <cellStyle name="Normal 14" xfId="34"/>
    <cellStyle name="Normal 15" xfId="37"/>
    <cellStyle name="Normal 16" xfId="39"/>
    <cellStyle name="Normal 17" xfId="41"/>
    <cellStyle name="Normal 18" xfId="44"/>
    <cellStyle name="Normal 18 2" xfId="63"/>
    <cellStyle name="Normal 19" xfId="46"/>
    <cellStyle name="Normal 2" xfId="8"/>
    <cellStyle name="Normal 2 2" xfId="9"/>
    <cellStyle name="Normal 2 3" xfId="25"/>
    <cellStyle name="Normal 2 3 2" xfId="58"/>
    <cellStyle name="Normal 20" xfId="48"/>
    <cellStyle name="Normal 21" xfId="50"/>
    <cellStyle name="Normal 22" xfId="53"/>
    <cellStyle name="Normal 23" xfId="55"/>
    <cellStyle name="Normal 24" xfId="59"/>
    <cellStyle name="Normal 25" xfId="61"/>
    <cellStyle name="Normal 26" xfId="62"/>
    <cellStyle name="Normal 27" xfId="64"/>
    <cellStyle name="Normal 28" xfId="65"/>
    <cellStyle name="Normal 3" xfId="10"/>
    <cellStyle name="Normal 4" xfId="11"/>
    <cellStyle name="Normal 5" xfId="12"/>
    <cellStyle name="Normal 6" xfId="4"/>
    <cellStyle name="Normal 6 2" xfId="51"/>
    <cellStyle name="Normal 6 3" xfId="57"/>
    <cellStyle name="Normal 6 4" xfId="66"/>
    <cellStyle name="Normal 7" xfId="13"/>
    <cellStyle name="Normal 8" xfId="14"/>
    <cellStyle name="Normal 9" xfId="15"/>
    <cellStyle name="Porcentagem" xfId="2" builtinId="5"/>
    <cellStyle name="Porcentagem 2" xfId="16"/>
    <cellStyle name="Porcentagem 3" xfId="17"/>
    <cellStyle name="Separador de milhares 10" xfId="28"/>
    <cellStyle name="Separador de milhares 11" xfId="31"/>
    <cellStyle name="Separador de milhares 12" xfId="33"/>
    <cellStyle name="Separador de milhares 13" xfId="35"/>
    <cellStyle name="Separador de milhares 14" xfId="36"/>
    <cellStyle name="Separador de milhares 15" xfId="40"/>
    <cellStyle name="Separador de milhares 16" xfId="42"/>
    <cellStyle name="Separador de milhares 17" xfId="45"/>
    <cellStyle name="Separador de milhares 18" xfId="47"/>
    <cellStyle name="Separador de milhares 19" xfId="49"/>
    <cellStyle name="Separador de milhares 2" xfId="18"/>
    <cellStyle name="Separador de milhares 20" xfId="54"/>
    <cellStyle name="Separador de milhares 21" xfId="56"/>
    <cellStyle name="Separador de milhares 22" xfId="60"/>
    <cellStyle name="Separador de milhares 3" xfId="19"/>
    <cellStyle name="Separador de milhares 4" xfId="20"/>
    <cellStyle name="Separador de milhares 5" xfId="5"/>
    <cellStyle name="Separador de milhares 5 2" xfId="52"/>
    <cellStyle name="Separador de milhares 5 3" xfId="67"/>
    <cellStyle name="Separador de milhares 6" xfId="21"/>
    <cellStyle name="Separador de milhares 7" xfId="22"/>
    <cellStyle name="Separador de milhares 8" xfId="23"/>
    <cellStyle name="Separador de milhares 9" xfId="29"/>
    <cellStyle name="Vírgula" xfId="3" builtinId="3"/>
    <cellStyle name="Vírgula 2" xfId="24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4</xdr:row>
      <xdr:rowOff>28575</xdr:rowOff>
    </xdr:from>
    <xdr:to>
      <xdr:col>0</xdr:col>
      <xdr:colOff>1419225</xdr:colOff>
      <xdr:row>6</xdr:row>
      <xdr:rowOff>66675</xdr:rowOff>
    </xdr:to>
    <xdr:pic>
      <xdr:nvPicPr>
        <xdr:cNvPr id="6506" name="Picture 2">
          <a:extLst>
            <a:ext uri="{FF2B5EF4-FFF2-40B4-BE49-F238E27FC236}">
              <a16:creationId xmlns:a16="http://schemas.microsoft.com/office/drawing/2014/main" id="{00000000-0008-0000-0D00-00006A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19100"/>
          <a:ext cx="12858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7</xdr:row>
      <xdr:rowOff>9525</xdr:rowOff>
    </xdr:from>
    <xdr:to>
      <xdr:col>0</xdr:col>
      <xdr:colOff>2124075</xdr:colOff>
      <xdr:row>9</xdr:row>
      <xdr:rowOff>57150</xdr:rowOff>
    </xdr:to>
    <xdr:pic>
      <xdr:nvPicPr>
        <xdr:cNvPr id="6507" name="Picture 1">
          <a:extLst>
            <a:ext uri="{FF2B5EF4-FFF2-40B4-BE49-F238E27FC236}">
              <a16:creationId xmlns:a16="http://schemas.microsoft.com/office/drawing/2014/main" id="{00000000-0008-0000-0D00-00006B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85825"/>
          <a:ext cx="20383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B13" sqref="B13"/>
    </sheetView>
  </sheetViews>
  <sheetFormatPr defaultRowHeight="13.2" x14ac:dyDescent="0.25"/>
  <cols>
    <col min="1" max="1" width="7.5546875" customWidth="1"/>
    <col min="2" max="2" width="24.109375" customWidth="1"/>
    <col min="3" max="3" width="17.44140625" customWidth="1"/>
    <col min="4" max="6" width="10.44140625" bestFit="1" customWidth="1"/>
    <col min="7" max="7" width="11.44140625" bestFit="1" customWidth="1"/>
    <col min="8" max="8" width="10.44140625" bestFit="1" customWidth="1"/>
  </cols>
  <sheetData>
    <row r="1" spans="1:6" ht="17.399999999999999" x14ac:dyDescent="0.25">
      <c r="A1" s="134" t="s">
        <v>392</v>
      </c>
    </row>
    <row r="2" spans="1:6" x14ac:dyDescent="0.25">
      <c r="A2" s="98" t="s">
        <v>429</v>
      </c>
    </row>
    <row r="3" spans="1:6" x14ac:dyDescent="0.25">
      <c r="A3" s="286" t="s">
        <v>269</v>
      </c>
      <c r="B3" s="286" t="s">
        <v>314</v>
      </c>
      <c r="C3" s="286" t="s">
        <v>391</v>
      </c>
    </row>
    <row r="4" spans="1:6" x14ac:dyDescent="0.25">
      <c r="A4" s="287">
        <v>1</v>
      </c>
      <c r="B4" s="292" t="s">
        <v>363</v>
      </c>
      <c r="C4" s="289">
        <f>'1. Coleta Orgânica e Seletiva'!F283</f>
        <v>42461.130328228188</v>
      </c>
    </row>
    <row r="5" spans="1:6" x14ac:dyDescent="0.25">
      <c r="A5" s="287">
        <v>2</v>
      </c>
      <c r="B5" s="292" t="s">
        <v>405</v>
      </c>
      <c r="C5" s="289">
        <f>'2. Destino Final'!E13</f>
        <v>14091.397374600001</v>
      </c>
    </row>
    <row r="6" spans="1:6" x14ac:dyDescent="0.25">
      <c r="A6" s="287"/>
      <c r="B6" s="288"/>
      <c r="C6" s="289"/>
    </row>
    <row r="7" spans="1:6" x14ac:dyDescent="0.25">
      <c r="A7" s="290" t="s">
        <v>315</v>
      </c>
      <c r="B7" s="290"/>
      <c r="C7" s="291">
        <f>SUM(C4:C6)</f>
        <v>56552.527702828185</v>
      </c>
      <c r="D7" s="293"/>
      <c r="E7" s="293"/>
      <c r="F7" s="294"/>
    </row>
    <row r="9" spans="1:6" ht="15.6" x14ac:dyDescent="0.3">
      <c r="A9" s="429" t="s">
        <v>433</v>
      </c>
    </row>
    <row r="10" spans="1:6" x14ac:dyDescent="0.25">
      <c r="C10" s="293"/>
    </row>
    <row r="11" spans="1:6" x14ac:dyDescent="0.25">
      <c r="C11" s="427"/>
    </row>
    <row r="12" spans="1:6" x14ac:dyDescent="0.25">
      <c r="C12" s="427"/>
    </row>
    <row r="18" spans="1:1" ht="15.6" x14ac:dyDescent="0.3">
      <c r="A18" s="429" t="s">
        <v>430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C12" sqref="C12"/>
    </sheetView>
  </sheetViews>
  <sheetFormatPr defaultColWidth="9.109375" defaultRowHeight="19.5" customHeight="1" x14ac:dyDescent="0.25"/>
  <cols>
    <col min="1" max="1" width="24.5546875" style="1" customWidth="1"/>
    <col min="2" max="2" width="20.88671875" style="1" customWidth="1"/>
    <col min="3" max="16384" width="9.109375" style="1"/>
  </cols>
  <sheetData>
    <row r="1" spans="1:2" ht="19.5" customHeight="1" thickBot="1" x14ac:dyDescent="0.3">
      <c r="A1" s="545" t="s">
        <v>325</v>
      </c>
      <c r="B1" s="546"/>
    </row>
    <row r="2" spans="1:2" s="98" customFormat="1" ht="19.5" customHeight="1" x14ac:dyDescent="0.25">
      <c r="A2" s="226" t="s">
        <v>176</v>
      </c>
      <c r="B2" s="227" t="s">
        <v>243</v>
      </c>
    </row>
    <row r="3" spans="1:2" ht="19.5" customHeight="1" x14ac:dyDescent="0.25">
      <c r="A3" s="140">
        <v>1</v>
      </c>
      <c r="B3" s="139">
        <v>33.629999999999995</v>
      </c>
    </row>
    <row r="4" spans="1:2" ht="19.5" customHeight="1" x14ac:dyDescent="0.25">
      <c r="A4" s="140">
        <v>2</v>
      </c>
      <c r="B4" s="139">
        <v>43.13</v>
      </c>
    </row>
    <row r="5" spans="1:2" ht="19.5" customHeight="1" x14ac:dyDescent="0.25">
      <c r="A5" s="140">
        <v>3</v>
      </c>
      <c r="B5" s="139">
        <v>48.68</v>
      </c>
    </row>
    <row r="6" spans="1:2" ht="19.5" customHeight="1" x14ac:dyDescent="0.25">
      <c r="A6" s="140">
        <v>4</v>
      </c>
      <c r="B6" s="139">
        <v>52.62</v>
      </c>
    </row>
    <row r="7" spans="1:2" ht="19.5" customHeight="1" x14ac:dyDescent="0.25">
      <c r="A7" s="140">
        <v>5</v>
      </c>
      <c r="B7" s="139">
        <v>55.679999999999993</v>
      </c>
    </row>
    <row r="8" spans="1:2" ht="19.5" customHeight="1" x14ac:dyDescent="0.25">
      <c r="A8" s="140">
        <v>6</v>
      </c>
      <c r="B8" s="139">
        <v>58.18</v>
      </c>
    </row>
    <row r="9" spans="1:2" ht="19.5" customHeight="1" x14ac:dyDescent="0.25">
      <c r="A9" s="140">
        <v>7</v>
      </c>
      <c r="B9" s="139">
        <v>60.29</v>
      </c>
    </row>
    <row r="10" spans="1:2" ht="19.5" customHeight="1" x14ac:dyDescent="0.25">
      <c r="A10" s="140">
        <v>8</v>
      </c>
      <c r="B10" s="139">
        <v>62.12</v>
      </c>
    </row>
    <row r="11" spans="1:2" ht="19.5" customHeight="1" x14ac:dyDescent="0.25">
      <c r="A11" s="140">
        <v>9</v>
      </c>
      <c r="B11" s="139">
        <v>63.73</v>
      </c>
    </row>
    <row r="12" spans="1:2" ht="19.5" customHeight="1" x14ac:dyDescent="0.25">
      <c r="A12" s="140">
        <v>10</v>
      </c>
      <c r="B12" s="139">
        <v>65.180000000000007</v>
      </c>
    </row>
    <row r="13" spans="1:2" ht="19.5" customHeight="1" x14ac:dyDescent="0.25">
      <c r="A13" s="140">
        <v>11</v>
      </c>
      <c r="B13" s="139">
        <v>66.47999999999999</v>
      </c>
    </row>
    <row r="14" spans="1:2" ht="19.5" customHeight="1" x14ac:dyDescent="0.25">
      <c r="A14" s="140">
        <v>12</v>
      </c>
      <c r="B14" s="139">
        <v>67.67</v>
      </c>
    </row>
    <row r="15" spans="1:2" ht="19.5" customHeight="1" x14ac:dyDescent="0.25">
      <c r="A15" s="140">
        <v>13</v>
      </c>
      <c r="B15" s="139">
        <v>68.77</v>
      </c>
    </row>
    <row r="16" spans="1:2" ht="19.5" customHeight="1" x14ac:dyDescent="0.25">
      <c r="A16" s="140">
        <v>14</v>
      </c>
      <c r="B16" s="139">
        <v>69.789999999999992</v>
      </c>
    </row>
    <row r="17" spans="1:2" ht="19.5" customHeight="1" thickBot="1" x14ac:dyDescent="0.3">
      <c r="A17" s="141">
        <v>15</v>
      </c>
      <c r="B17" s="142">
        <v>70.73</v>
      </c>
    </row>
  </sheetData>
  <mergeCells count="1">
    <mergeCell ref="A1:B1"/>
  </mergeCells>
  <pageMargins left="0.90551181102362199" right="0.5118110236220472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C12" sqref="C12"/>
    </sheetView>
  </sheetViews>
  <sheetFormatPr defaultColWidth="9.109375" defaultRowHeight="13.2" x14ac:dyDescent="0.25"/>
  <cols>
    <col min="1" max="1" width="70.44140625" style="1" customWidth="1"/>
    <col min="2" max="3" width="9.109375" style="1"/>
    <col min="4" max="4" width="12.88671875" style="1" bestFit="1" customWidth="1"/>
    <col min="5" max="16384" width="9.109375" style="1"/>
  </cols>
  <sheetData>
    <row r="1" spans="1:1" ht="17.399999999999999" x14ac:dyDescent="0.3">
      <c r="A1" s="210" t="s">
        <v>326</v>
      </c>
    </row>
    <row r="2" spans="1:1" x14ac:dyDescent="0.25">
      <c r="A2" s="207"/>
    </row>
    <row r="3" spans="1:1" x14ac:dyDescent="0.25">
      <c r="A3" s="207" t="s">
        <v>208</v>
      </c>
    </row>
    <row r="4" spans="1:1" x14ac:dyDescent="0.25">
      <c r="A4" s="207"/>
    </row>
    <row r="5" spans="1:1" x14ac:dyDescent="0.25">
      <c r="A5" s="207"/>
    </row>
    <row r="6" spans="1:1" x14ac:dyDescent="0.25">
      <c r="A6" s="207"/>
    </row>
    <row r="7" spans="1:1" x14ac:dyDescent="0.25">
      <c r="A7" s="207"/>
    </row>
    <row r="8" spans="1:1" x14ac:dyDescent="0.25">
      <c r="A8" s="207"/>
    </row>
    <row r="9" spans="1:1" x14ac:dyDescent="0.25">
      <c r="A9" s="207"/>
    </row>
    <row r="10" spans="1:1" x14ac:dyDescent="0.25">
      <c r="A10" s="207"/>
    </row>
    <row r="11" spans="1:1" x14ac:dyDescent="0.25">
      <c r="A11" s="207"/>
    </row>
    <row r="12" spans="1:1" ht="18.600000000000001" x14ac:dyDescent="0.4">
      <c r="A12" s="208" t="s">
        <v>196</v>
      </c>
    </row>
    <row r="13" spans="1:1" ht="15" x14ac:dyDescent="0.25">
      <c r="A13" s="208" t="s">
        <v>101</v>
      </c>
    </row>
    <row r="14" spans="1:1" ht="15" x14ac:dyDescent="0.25">
      <c r="A14" s="208" t="s">
        <v>105</v>
      </c>
    </row>
    <row r="15" spans="1:1" ht="18.600000000000001" x14ac:dyDescent="0.4">
      <c r="A15" s="208" t="s">
        <v>197</v>
      </c>
    </row>
    <row r="16" spans="1:1" ht="18.600000000000001" x14ac:dyDescent="0.4">
      <c r="A16" s="208" t="s">
        <v>198</v>
      </c>
    </row>
    <row r="17" spans="1:1" ht="15.6" thickBot="1" x14ac:dyDescent="0.3">
      <c r="A17" s="209" t="s">
        <v>102</v>
      </c>
    </row>
  </sheetData>
  <pageMargins left="0.90551181102362199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A10" workbookViewId="0">
      <selection activeCell="C12" sqref="C12"/>
    </sheetView>
  </sheetViews>
  <sheetFormatPr defaultColWidth="9.109375" defaultRowHeight="13.2" x14ac:dyDescent="0.25"/>
  <cols>
    <col min="1" max="1" width="58.33203125" style="236" customWidth="1"/>
    <col min="2" max="2" width="11.109375" style="236" bestFit="1" customWidth="1"/>
    <col min="3" max="3" width="13.33203125" style="236" bestFit="1" customWidth="1"/>
    <col min="4" max="16384" width="9.109375" style="236"/>
  </cols>
  <sheetData>
    <row r="1" spans="1:7" x14ac:dyDescent="0.25">
      <c r="A1" s="9" t="s">
        <v>173</v>
      </c>
    </row>
    <row r="2" spans="1:7" x14ac:dyDescent="0.25">
      <c r="A2" s="241" t="s">
        <v>219</v>
      </c>
    </row>
    <row r="3" spans="1:7" x14ac:dyDescent="0.25">
      <c r="A3" s="241" t="s">
        <v>244</v>
      </c>
    </row>
    <row r="4" spans="1:7" x14ac:dyDescent="0.25">
      <c r="A4" s="5" t="s">
        <v>242</v>
      </c>
    </row>
    <row r="5" spans="1:7" x14ac:dyDescent="0.25">
      <c r="A5" s="5"/>
    </row>
    <row r="6" spans="1:7" s="2" customFormat="1" ht="15.6" hidden="1" customHeight="1" x14ac:dyDescent="0.25">
      <c r="A6" s="257" t="s">
        <v>253</v>
      </c>
      <c r="B6" s="3"/>
      <c r="C6" s="3"/>
      <c r="D6" s="3"/>
      <c r="E6" s="3"/>
      <c r="F6" s="3"/>
      <c r="G6" s="4"/>
    </row>
    <row r="7" spans="1:7" s="2" customFormat="1" ht="16.5" customHeight="1" x14ac:dyDescent="0.25">
      <c r="A7" s="278" t="s">
        <v>254</v>
      </c>
      <c r="B7" s="3"/>
      <c r="C7" s="3"/>
      <c r="D7" s="4"/>
      <c r="E7" s="4"/>
      <c r="F7" s="4"/>
      <c r="G7" s="4"/>
    </row>
    <row r="8" spans="1:7" s="2" customFormat="1" ht="16.5" customHeight="1" x14ac:dyDescent="0.25">
      <c r="A8" s="278" t="s">
        <v>255</v>
      </c>
      <c r="B8" s="3"/>
      <c r="C8" s="3"/>
      <c r="D8" s="4"/>
      <c r="E8" s="4"/>
      <c r="F8" s="4"/>
      <c r="G8" s="4"/>
    </row>
    <row r="9" spans="1:7" ht="13.8" thickBot="1" x14ac:dyDescent="0.3"/>
    <row r="10" spans="1:7" ht="17.399999999999999" x14ac:dyDescent="0.3">
      <c r="A10" s="547" t="s">
        <v>327</v>
      </c>
      <c r="B10" s="548"/>
      <c r="C10" s="549"/>
    </row>
    <row r="11" spans="1:7" ht="17.399999999999999" x14ac:dyDescent="0.3">
      <c r="A11" s="253"/>
      <c r="B11" s="252"/>
      <c r="C11" s="254"/>
    </row>
    <row r="12" spans="1:7" s="98" customFormat="1" ht="13.8" x14ac:dyDescent="0.25">
      <c r="A12" s="242" t="s">
        <v>239</v>
      </c>
      <c r="B12" s="243" t="s">
        <v>220</v>
      </c>
      <c r="C12" s="244" t="s">
        <v>114</v>
      </c>
    </row>
    <row r="13" spans="1:7" ht="13.8" x14ac:dyDescent="0.25">
      <c r="A13" s="171" t="s">
        <v>228</v>
      </c>
      <c r="B13" s="245" t="s">
        <v>221</v>
      </c>
      <c r="C13" s="172">
        <v>5107</v>
      </c>
    </row>
    <row r="14" spans="1:7" ht="13.8" x14ac:dyDescent="0.25">
      <c r="A14" s="171" t="s">
        <v>229</v>
      </c>
      <c r="B14" s="245" t="s">
        <v>226</v>
      </c>
      <c r="C14" s="386">
        <v>0.46866999999999998</v>
      </c>
    </row>
    <row r="15" spans="1:7" ht="13.8" x14ac:dyDescent="0.25">
      <c r="A15" s="171" t="s">
        <v>230</v>
      </c>
      <c r="B15" s="245" t="s">
        <v>227</v>
      </c>
      <c r="C15" s="246">
        <f>C13*C14/1000</f>
        <v>2.3934976899999998</v>
      </c>
    </row>
    <row r="16" spans="1:7" ht="13.8" x14ac:dyDescent="0.25">
      <c r="A16" s="171" t="s">
        <v>236</v>
      </c>
      <c r="B16" s="245" t="s">
        <v>222</v>
      </c>
      <c r="C16" s="247">
        <f>(C15*30)</f>
        <v>71.8049307</v>
      </c>
    </row>
    <row r="17" spans="1:3" ht="13.8" x14ac:dyDescent="0.25">
      <c r="A17" s="171" t="s">
        <v>232</v>
      </c>
      <c r="B17" s="245" t="s">
        <v>89</v>
      </c>
      <c r="C17" s="250">
        <v>4</v>
      </c>
    </row>
    <row r="18" spans="1:3" ht="13.8" x14ac:dyDescent="0.25">
      <c r="A18" s="171" t="s">
        <v>231</v>
      </c>
      <c r="B18" s="245" t="s">
        <v>227</v>
      </c>
      <c r="C18" s="246">
        <f>IFERROR(C15*7/C17,0)</f>
        <v>4.1886209574999995</v>
      </c>
    </row>
    <row r="19" spans="1:3" ht="13.8" x14ac:dyDescent="0.25">
      <c r="A19" s="171" t="s">
        <v>223</v>
      </c>
      <c r="B19" s="245" t="s">
        <v>224</v>
      </c>
      <c r="C19" s="188">
        <v>500</v>
      </c>
    </row>
    <row r="20" spans="1:3" ht="13.8" x14ac:dyDescent="0.25">
      <c r="A20" s="171" t="s">
        <v>237</v>
      </c>
      <c r="B20" s="245"/>
      <c r="C20" s="172">
        <v>1</v>
      </c>
    </row>
    <row r="21" spans="1:3" ht="13.8" x14ac:dyDescent="0.25">
      <c r="A21" s="171" t="s">
        <v>238</v>
      </c>
      <c r="B21" s="245" t="s">
        <v>225</v>
      </c>
      <c r="C21" s="172">
        <v>12</v>
      </c>
    </row>
    <row r="22" spans="1:3" ht="13.8" x14ac:dyDescent="0.25">
      <c r="A22" s="171" t="s">
        <v>233</v>
      </c>
      <c r="B22" s="245" t="s">
        <v>222</v>
      </c>
      <c r="C22" s="247">
        <f>IF(AND(C21&gt;=15,C20=1),5.8,C21/2)</f>
        <v>6</v>
      </c>
    </row>
    <row r="23" spans="1:3" ht="13.8" x14ac:dyDescent="0.25">
      <c r="A23" s="171" t="s">
        <v>234</v>
      </c>
      <c r="B23" s="245"/>
      <c r="C23" s="246">
        <f>IFERROR(C18/C22,0)</f>
        <v>0.69810349291666662</v>
      </c>
    </row>
    <row r="24" spans="1:3" ht="13.8" x14ac:dyDescent="0.25">
      <c r="A24" s="171" t="s">
        <v>240</v>
      </c>
      <c r="B24" s="245"/>
      <c r="C24" s="250">
        <v>1</v>
      </c>
    </row>
    <row r="25" spans="1:3" ht="14.4" thickBot="1" x14ac:dyDescent="0.3">
      <c r="A25" s="248" t="s">
        <v>235</v>
      </c>
      <c r="B25" s="249"/>
      <c r="C25" s="251">
        <f>IFERROR(C23/C24,0)</f>
        <v>0.69810349291666662</v>
      </c>
    </row>
    <row r="26" spans="1:3" ht="13.8" x14ac:dyDescent="0.25">
      <c r="A26" s="131"/>
      <c r="B26" s="131"/>
      <c r="C26" s="259"/>
    </row>
    <row r="27" spans="1:3" ht="13.8" x14ac:dyDescent="0.25">
      <c r="A27" s="131" t="s">
        <v>258</v>
      </c>
    </row>
    <row r="28" spans="1:3" x14ac:dyDescent="0.25">
      <c r="A28" s="236" t="s">
        <v>259</v>
      </c>
    </row>
    <row r="29" spans="1:3" x14ac:dyDescent="0.25">
      <c r="A29" s="236" t="s">
        <v>260</v>
      </c>
    </row>
    <row r="30" spans="1:3" x14ac:dyDescent="0.25">
      <c r="A30" s="236" t="s">
        <v>256</v>
      </c>
    </row>
    <row r="31" spans="1:3" x14ac:dyDescent="0.25">
      <c r="A31" s="236" t="s">
        <v>261</v>
      </c>
    </row>
    <row r="32" spans="1:3" x14ac:dyDescent="0.25">
      <c r="A32" s="236" t="s">
        <v>262</v>
      </c>
    </row>
    <row r="33" spans="1:1" x14ac:dyDescent="0.25">
      <c r="A33" s="236" t="s">
        <v>263</v>
      </c>
    </row>
    <row r="34" spans="1:1" x14ac:dyDescent="0.25">
      <c r="A34" s="236" t="s">
        <v>264</v>
      </c>
    </row>
    <row r="35" spans="1:1" x14ac:dyDescent="0.25">
      <c r="A35" s="236" t="s">
        <v>257</v>
      </c>
    </row>
  </sheetData>
  <mergeCells count="1">
    <mergeCell ref="A10:C10"/>
  </mergeCells>
  <conditionalFormatting sqref="C22">
    <cfRule type="expression" dxfId="0" priority="1">
      <formula>"SE(E(C20&gt;=15;C19=1))"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22"/>
  <sheetViews>
    <sheetView topLeftCell="A197" zoomScale="130" zoomScaleNormal="130" zoomScaleSheetLayoutView="100" workbookViewId="0">
      <selection activeCell="A12" sqref="A12:F12"/>
    </sheetView>
  </sheetViews>
  <sheetFormatPr defaultColWidth="9.109375" defaultRowHeight="13.2" x14ac:dyDescent="0.25"/>
  <cols>
    <col min="1" max="1" width="44.5546875" style="7" customWidth="1"/>
    <col min="2" max="2" width="16" style="7" bestFit="1" customWidth="1"/>
    <col min="3" max="3" width="11.88671875" style="7" customWidth="1"/>
    <col min="4" max="4" width="14.6640625" style="8" customWidth="1"/>
    <col min="5" max="5" width="15.44140625" style="8" customWidth="1"/>
    <col min="6" max="6" width="13.33203125" style="8" customWidth="1"/>
    <col min="7" max="7" width="28.109375" style="8" customWidth="1"/>
    <col min="8" max="8" width="9.109375" style="7"/>
    <col min="9" max="9" width="14.5546875" style="7" customWidth="1"/>
    <col min="10" max="10" width="13.44140625" style="7" customWidth="1"/>
    <col min="11" max="16384" width="9.109375" style="7"/>
  </cols>
  <sheetData>
    <row r="1" spans="1:7" ht="15.6" hidden="1" x14ac:dyDescent="0.25">
      <c r="A1" s="50" t="s">
        <v>173</v>
      </c>
    </row>
    <row r="2" spans="1:7" ht="15.6" hidden="1" x14ac:dyDescent="0.25">
      <c r="A2" s="278" t="s">
        <v>245</v>
      </c>
    </row>
    <row r="3" spans="1:7" ht="15.6" hidden="1" x14ac:dyDescent="0.25">
      <c r="A3" s="278" t="s">
        <v>246</v>
      </c>
    </row>
    <row r="4" spans="1:7" ht="15.6" hidden="1" x14ac:dyDescent="0.25">
      <c r="A4" s="278" t="s">
        <v>248</v>
      </c>
    </row>
    <row r="5" spans="1:7" s="2" customFormat="1" ht="15.6" hidden="1" customHeight="1" x14ac:dyDescent="0.25">
      <c r="A5" s="50" t="s">
        <v>242</v>
      </c>
      <c r="C5" s="3"/>
      <c r="D5" s="3"/>
      <c r="E5" s="3"/>
      <c r="F5" s="3"/>
      <c r="G5" s="4"/>
    </row>
    <row r="6" spans="1:7" s="2" customFormat="1" ht="15.6" hidden="1" customHeight="1" x14ac:dyDescent="0.25">
      <c r="A6" s="256" t="s">
        <v>247</v>
      </c>
      <c r="B6" s="3"/>
      <c r="C6" s="3"/>
      <c r="D6" s="3"/>
      <c r="E6" s="3"/>
      <c r="F6" s="3"/>
      <c r="G6" s="4"/>
    </row>
    <row r="7" spans="1:7" s="2" customFormat="1" ht="15.6" hidden="1" customHeight="1" x14ac:dyDescent="0.25">
      <c r="A7" s="5"/>
      <c r="B7" s="3"/>
      <c r="C7" s="3"/>
      <c r="D7" s="3"/>
      <c r="E7" s="3"/>
      <c r="F7" s="3"/>
      <c r="G7" s="4"/>
    </row>
    <row r="8" spans="1:7" s="2" customFormat="1" ht="15.6" hidden="1" customHeight="1" x14ac:dyDescent="0.25">
      <c r="A8" s="257" t="s">
        <v>253</v>
      </c>
      <c r="B8" s="3"/>
      <c r="C8" s="3"/>
      <c r="D8" s="3"/>
      <c r="E8" s="3"/>
      <c r="F8" s="3"/>
      <c r="G8" s="4"/>
    </row>
    <row r="9" spans="1:7" s="2" customFormat="1" ht="15.6" hidden="1" customHeight="1" x14ac:dyDescent="0.25">
      <c r="A9" s="278" t="s">
        <v>250</v>
      </c>
      <c r="B9" s="3"/>
      <c r="C9" s="3"/>
      <c r="D9" s="3"/>
      <c r="E9" s="3"/>
      <c r="F9" s="3"/>
      <c r="G9" s="4"/>
    </row>
    <row r="10" spans="1:7" s="2" customFormat="1" ht="16.5" hidden="1" customHeight="1" x14ac:dyDescent="0.25">
      <c r="A10" s="5"/>
      <c r="B10" s="3"/>
      <c r="C10" s="3"/>
      <c r="D10" s="4"/>
      <c r="E10" s="4"/>
      <c r="F10" s="4"/>
      <c r="G10" s="4"/>
    </row>
    <row r="11" spans="1:7" s="2" customFormat="1" ht="16.5" customHeight="1" thickBot="1" x14ac:dyDescent="0.3">
      <c r="A11" s="134" t="s">
        <v>392</v>
      </c>
      <c r="B11" s="3"/>
      <c r="C11" s="3"/>
      <c r="D11" s="4"/>
      <c r="E11" s="4"/>
      <c r="F11" s="4"/>
      <c r="G11" s="4"/>
    </row>
    <row r="12" spans="1:7" s="6" customFormat="1" ht="17.399999999999999" x14ac:dyDescent="0.25">
      <c r="A12" s="434" t="s">
        <v>416</v>
      </c>
      <c r="B12" s="435"/>
      <c r="C12" s="435"/>
      <c r="D12" s="435"/>
      <c r="E12" s="435"/>
      <c r="F12" s="436"/>
      <c r="G12" s="33"/>
    </row>
    <row r="13" spans="1:7" s="6" customFormat="1" ht="21.75" customHeight="1" x14ac:dyDescent="0.25">
      <c r="A13" s="437" t="s">
        <v>44</v>
      </c>
      <c r="B13" s="438"/>
      <c r="C13" s="438"/>
      <c r="D13" s="438"/>
      <c r="E13" s="438"/>
      <c r="F13" s="439"/>
      <c r="G13" s="33"/>
    </row>
    <row r="14" spans="1:7" s="2" customFormat="1" ht="10.95" customHeight="1" thickBot="1" x14ac:dyDescent="0.3">
      <c r="A14" s="135"/>
      <c r="B14" s="3"/>
      <c r="C14" s="3"/>
      <c r="D14" s="136"/>
      <c r="E14" s="136"/>
      <c r="F14" s="137"/>
      <c r="G14" s="4"/>
    </row>
    <row r="15" spans="1:7" s="2" customFormat="1" ht="15.75" customHeight="1" thickBot="1" x14ac:dyDescent="0.3">
      <c r="A15" s="443" t="s">
        <v>172</v>
      </c>
      <c r="B15" s="444"/>
      <c r="C15" s="444"/>
      <c r="D15" s="444"/>
      <c r="E15" s="444"/>
      <c r="F15" s="445"/>
      <c r="G15" s="4"/>
    </row>
    <row r="16" spans="1:7" s="2" customFormat="1" ht="15.75" customHeight="1" x14ac:dyDescent="0.25">
      <c r="A16" s="58" t="s">
        <v>171</v>
      </c>
      <c r="B16" s="36"/>
      <c r="C16" s="36"/>
      <c r="D16" s="221"/>
      <c r="E16" s="105" t="s">
        <v>39</v>
      </c>
      <c r="F16" s="37" t="s">
        <v>2</v>
      </c>
      <c r="G16" s="4"/>
    </row>
    <row r="17" spans="1:7" s="9" customFormat="1" ht="15.75" customHeight="1" x14ac:dyDescent="0.25">
      <c r="A17" s="113" t="str">
        <f>A53</f>
        <v>1. Mão-de-obra</v>
      </c>
      <c r="B17" s="114"/>
      <c r="C17" s="115"/>
      <c r="D17" s="115"/>
      <c r="E17" s="218">
        <f>+F130</f>
        <v>11957.518349685683</v>
      </c>
      <c r="F17" s="116">
        <f>IFERROR(E17/$E$39,0)</f>
        <v>0.28161092880130695</v>
      </c>
      <c r="G17" s="40"/>
    </row>
    <row r="18" spans="1:7" s="2" customFormat="1" ht="15.75" customHeight="1" x14ac:dyDescent="0.25">
      <c r="A18" s="45" t="str">
        <f>A54</f>
        <v>1.1. Coletor Turno Dia CBO 5142</v>
      </c>
      <c r="B18" s="41"/>
      <c r="C18" s="43"/>
      <c r="D18" s="43"/>
      <c r="E18" s="219">
        <f>F65</f>
        <v>5860.9439092402554</v>
      </c>
      <c r="F18" s="52">
        <f>IFERROR(E18/$E$39,0)</f>
        <v>0.13803080285274213</v>
      </c>
      <c r="G18" s="4"/>
    </row>
    <row r="19" spans="1:7" s="2" customFormat="1" ht="15.75" hidden="1" customHeight="1" x14ac:dyDescent="0.25">
      <c r="A19" s="45" t="e">
        <f>#REF!</f>
        <v>#REF!</v>
      </c>
      <c r="B19" s="41"/>
      <c r="C19" s="43"/>
      <c r="D19" s="43"/>
      <c r="E19" s="219" t="e">
        <f>#REF!</f>
        <v>#REF!</v>
      </c>
      <c r="F19" s="52">
        <f t="shared" ref="F19:F38" si="0">IFERROR(E19/$E$39,0)</f>
        <v>0</v>
      </c>
      <c r="G19" s="4"/>
    </row>
    <row r="20" spans="1:7" s="2" customFormat="1" ht="15.75" customHeight="1" x14ac:dyDescent="0.25">
      <c r="A20" s="45" t="str">
        <f>A67</f>
        <v>1.2. Motorista Turno do Dia</v>
      </c>
      <c r="B20" s="41"/>
      <c r="C20" s="43"/>
      <c r="D20" s="43"/>
      <c r="E20" s="219">
        <f>F80</f>
        <v>4348.1480904</v>
      </c>
      <c r="F20" s="52">
        <f t="shared" si="0"/>
        <v>0.10240302264184777</v>
      </c>
      <c r="G20" s="372"/>
    </row>
    <row r="21" spans="1:7" s="2" customFormat="1" ht="15.75" customHeight="1" x14ac:dyDescent="0.25">
      <c r="A21" s="45" t="str">
        <f>A82</f>
        <v>1.3. Encarregado/Supervisor</v>
      </c>
      <c r="B21" s="41"/>
      <c r="C21" s="43"/>
      <c r="D21" s="43"/>
      <c r="E21" s="219">
        <f>F101</f>
        <v>218.08941238309095</v>
      </c>
      <c r="F21" s="52">
        <f t="shared" si="0"/>
        <v>5.1362130658614367E-3</v>
      </c>
      <c r="G21" s="4"/>
    </row>
    <row r="22" spans="1:7" s="2" customFormat="1" ht="15.75" customHeight="1" x14ac:dyDescent="0.25">
      <c r="A22" s="45" t="str">
        <f>A103</f>
        <v>1.4. Vale Transporte</v>
      </c>
      <c r="B22" s="41"/>
      <c r="C22" s="43"/>
      <c r="D22" s="43"/>
      <c r="E22" s="219">
        <f>F109</f>
        <v>182.3750285714286</v>
      </c>
      <c r="F22" s="52">
        <f t="shared" si="0"/>
        <v>4.2951053625198844E-3</v>
      </c>
      <c r="G22" s="4"/>
    </row>
    <row r="23" spans="1:7" s="2" customFormat="1" ht="15.75" customHeight="1" x14ac:dyDescent="0.25">
      <c r="A23" s="45" t="str">
        <f>A111</f>
        <v>1.5. Vale Lanche (diário)</v>
      </c>
      <c r="B23" s="41"/>
      <c r="C23" s="43"/>
      <c r="D23" s="43"/>
      <c r="E23" s="219">
        <f>F115</f>
        <v>1006.1110000000001</v>
      </c>
      <c r="F23" s="52">
        <f t="shared" si="0"/>
        <v>2.3694870867136026E-2</v>
      </c>
      <c r="G23" s="4"/>
    </row>
    <row r="24" spans="1:7" s="2" customFormat="1" ht="15.75" customHeight="1" x14ac:dyDescent="0.25">
      <c r="A24" s="45" t="str">
        <f>A117</f>
        <v>1.6. Auxílio Alimentação, Abono e Seguro de Vida</v>
      </c>
      <c r="B24" s="41"/>
      <c r="C24" s="43"/>
      <c r="D24" s="43"/>
      <c r="E24" s="219">
        <f>F122</f>
        <v>217.14545454545453</v>
      </c>
      <c r="F24" s="52">
        <f t="shared" si="0"/>
        <v>5.1139819610759654E-3</v>
      </c>
      <c r="G24" s="4"/>
    </row>
    <row r="25" spans="1:7" s="2" customFormat="1" ht="15.75" customHeight="1" x14ac:dyDescent="0.25">
      <c r="A25" s="45" t="str">
        <f>A124</f>
        <v>1.7. Plano de Benefício Social  e Prêmio Assiduidade</v>
      </c>
      <c r="B25" s="41"/>
      <c r="C25" s="43"/>
      <c r="D25" s="43"/>
      <c r="E25" s="219">
        <f>F128</f>
        <v>124.70545454545454</v>
      </c>
      <c r="F25" s="52">
        <f t="shared" ref="F25" si="1">IFERROR(E25/$E$39,0)</f>
        <v>2.9369320501237404E-3</v>
      </c>
      <c r="G25" s="4"/>
    </row>
    <row r="26" spans="1:7" s="9" customFormat="1" ht="15.75" customHeight="1" x14ac:dyDescent="0.25">
      <c r="A26" s="432" t="str">
        <f>A132</f>
        <v>2. Uniformes e Equipamentos de Proteção Individual</v>
      </c>
      <c r="B26" s="433"/>
      <c r="C26" s="433"/>
      <c r="D26" s="115"/>
      <c r="E26" s="218">
        <f>+F163</f>
        <v>235.82878787878786</v>
      </c>
      <c r="F26" s="116">
        <f t="shared" si="0"/>
        <v>5.5539922290294922E-3</v>
      </c>
      <c r="G26" s="40"/>
    </row>
    <row r="27" spans="1:7" s="9" customFormat="1" ht="15.75" customHeight="1" x14ac:dyDescent="0.25">
      <c r="A27" s="124" t="str">
        <f>A165</f>
        <v>3. Veículos e Equipamentos</v>
      </c>
      <c r="B27" s="125"/>
      <c r="C27" s="115"/>
      <c r="D27" s="115"/>
      <c r="E27" s="218">
        <f>+F242</f>
        <v>20582.729420213302</v>
      </c>
      <c r="F27" s="116">
        <f t="shared" si="0"/>
        <v>0.48474285213575413</v>
      </c>
      <c r="G27" s="40"/>
    </row>
    <row r="28" spans="1:7" s="2" customFormat="1" ht="15.75" customHeight="1" x14ac:dyDescent="0.25">
      <c r="A28" s="59" t="str">
        <f>A166</f>
        <v>3.1. Veículo Coletor com compactador</v>
      </c>
      <c r="B28" s="42"/>
      <c r="C28" s="43"/>
      <c r="D28" s="43"/>
      <c r="E28" s="219">
        <f>SUM(E29:E34)</f>
        <v>20582.729420213302</v>
      </c>
      <c r="F28" s="130">
        <f t="shared" si="0"/>
        <v>0.48474285213575413</v>
      </c>
      <c r="G28" s="4"/>
    </row>
    <row r="29" spans="1:7" s="2" customFormat="1" ht="15.75" customHeight="1" x14ac:dyDescent="0.25">
      <c r="A29" s="59" t="str">
        <f>A167</f>
        <v>3.1.1. Depreciação</v>
      </c>
      <c r="B29" s="42"/>
      <c r="C29" s="43"/>
      <c r="D29" s="43"/>
      <c r="E29" s="219">
        <f>F182</f>
        <v>2737.5600000000004</v>
      </c>
      <c r="F29" s="130">
        <f t="shared" si="0"/>
        <v>6.4472141434729277E-2</v>
      </c>
      <c r="G29" s="4"/>
    </row>
    <row r="30" spans="1:7" s="2" customFormat="1" ht="15.75" customHeight="1" x14ac:dyDescent="0.25">
      <c r="A30" s="59" t="str">
        <f>A184</f>
        <v>3.1.2. Remuneração do Capital</v>
      </c>
      <c r="B30" s="42"/>
      <c r="C30" s="43"/>
      <c r="D30" s="43"/>
      <c r="E30" s="219">
        <f>F199</f>
        <v>4155.3371999999999</v>
      </c>
      <c r="F30" s="130">
        <f t="shared" si="0"/>
        <v>9.7862142808702604E-2</v>
      </c>
      <c r="G30" s="4"/>
    </row>
    <row r="31" spans="1:7" s="2" customFormat="1" ht="15.75" customHeight="1" x14ac:dyDescent="0.25">
      <c r="A31" s="59" t="str">
        <f>A201</f>
        <v>3.1.3. Impostos e Seguros</v>
      </c>
      <c r="B31" s="42"/>
      <c r="C31" s="43"/>
      <c r="D31" s="43"/>
      <c r="E31" s="219">
        <f>F207</f>
        <v>518.81386363636375</v>
      </c>
      <c r="F31" s="130">
        <f t="shared" si="0"/>
        <v>1.2218559883495517E-2</v>
      </c>
      <c r="G31" s="4"/>
    </row>
    <row r="32" spans="1:7" s="2" customFormat="1" ht="15.75" customHeight="1" x14ac:dyDescent="0.25">
      <c r="A32" s="59" t="str">
        <f>A209</f>
        <v>3.1.4. Consumos</v>
      </c>
      <c r="B32" s="42"/>
      <c r="C32" s="43"/>
      <c r="D32" s="43"/>
      <c r="E32" s="219">
        <f>F225</f>
        <v>9195.4584124697922</v>
      </c>
      <c r="F32" s="130">
        <f t="shared" si="0"/>
        <v>0.2165617905455674</v>
      </c>
      <c r="G32" s="4"/>
    </row>
    <row r="33" spans="1:7" s="2" customFormat="1" ht="15.75" customHeight="1" x14ac:dyDescent="0.25">
      <c r="A33" s="59" t="str">
        <f>A227</f>
        <v>3.1.5. Manutenção</v>
      </c>
      <c r="B33" s="42"/>
      <c r="C33" s="43"/>
      <c r="D33" s="43"/>
      <c r="E33" s="219">
        <f>F230</f>
        <v>3098.898007714286</v>
      </c>
      <c r="F33" s="130">
        <f t="shared" si="0"/>
        <v>7.2981995150848272E-2</v>
      </c>
      <c r="G33" s="4"/>
    </row>
    <row r="34" spans="1:7" s="2" customFormat="1" ht="15.75" customHeight="1" x14ac:dyDescent="0.25">
      <c r="A34" s="59" t="str">
        <f>A232</f>
        <v>3.1.6. Pneus</v>
      </c>
      <c r="B34" s="42"/>
      <c r="C34" s="43"/>
      <c r="D34" s="43"/>
      <c r="E34" s="219">
        <f>F239</f>
        <v>876.66193639285734</v>
      </c>
      <c r="F34" s="130">
        <f t="shared" si="0"/>
        <v>2.0646222312411026E-2</v>
      </c>
      <c r="G34" s="4"/>
    </row>
    <row r="35" spans="1:7" s="9" customFormat="1" ht="15.75" customHeight="1" x14ac:dyDescent="0.25">
      <c r="A35" s="124" t="str">
        <f>A244</f>
        <v xml:space="preserve">4. Ferramentas, Materiais de Consumo </v>
      </c>
      <c r="B35" s="125"/>
      <c r="C35" s="115"/>
      <c r="D35" s="115"/>
      <c r="E35" s="218">
        <f>+F252</f>
        <v>23.166666666666664</v>
      </c>
      <c r="F35" s="116">
        <f t="shared" si="0"/>
        <v>5.4559703162837027E-4</v>
      </c>
      <c r="G35" s="40"/>
    </row>
    <row r="36" spans="1:7" s="9" customFormat="1" ht="15.75" customHeight="1" x14ac:dyDescent="0.25">
      <c r="A36" s="124" t="str">
        <f>A254</f>
        <v xml:space="preserve">5. Administração Local </v>
      </c>
      <c r="B36" s="125"/>
      <c r="C36" s="115"/>
      <c r="D36" s="115"/>
      <c r="E36" s="218">
        <f>F259</f>
        <v>425.66666666666669</v>
      </c>
      <c r="F36" s="116">
        <f t="shared" si="0"/>
        <v>1.0024854811358688E-2</v>
      </c>
      <c r="G36" s="40"/>
    </row>
    <row r="37" spans="1:7" s="9" customFormat="1" ht="15.75" customHeight="1" x14ac:dyDescent="0.25">
      <c r="A37" s="124" t="str">
        <f>A261</f>
        <v>6. Monitoramento da Frota</v>
      </c>
      <c r="B37" s="125"/>
      <c r="C37" s="115"/>
      <c r="D37" s="115"/>
      <c r="E37" s="218">
        <f>+F270</f>
        <v>114.54545454545455</v>
      </c>
      <c r="F37" s="116">
        <f t="shared" si="0"/>
        <v>2.6976543879074421E-3</v>
      </c>
      <c r="G37" s="40"/>
    </row>
    <row r="38" spans="1:7" s="9" customFormat="1" ht="15.75" customHeight="1" thickBot="1" x14ac:dyDescent="0.3">
      <c r="A38" s="124" t="str">
        <f>A274</f>
        <v>7. Benefícios e Despesas Indiretas - BDI</v>
      </c>
      <c r="B38" s="125"/>
      <c r="C38" s="115"/>
      <c r="D38" s="115"/>
      <c r="E38" s="220">
        <f>+F280</f>
        <v>9121.6749825716324</v>
      </c>
      <c r="F38" s="116">
        <f t="shared" si="0"/>
        <v>0.21482412060301506</v>
      </c>
      <c r="G38" s="40"/>
    </row>
    <row r="39" spans="1:7" s="2" customFormat="1" ht="15.75" customHeight="1" thickBot="1" x14ac:dyDescent="0.3">
      <c r="A39" s="38" t="s">
        <v>203</v>
      </c>
      <c r="B39" s="39"/>
      <c r="C39" s="24"/>
      <c r="D39" s="24"/>
      <c r="E39" s="104">
        <f>E17+E26+E27+E35+E37+E38+E36</f>
        <v>42461.130328228188</v>
      </c>
      <c r="F39" s="129">
        <f>F17+F26+F27+F35+F37+F38+F36</f>
        <v>1.0000000000000002</v>
      </c>
      <c r="G39" s="4"/>
    </row>
    <row r="40" spans="1:7" ht="13.8" thickBot="1" x14ac:dyDescent="0.3"/>
    <row r="41" spans="1:7" s="2" customFormat="1" ht="15" customHeight="1" thickBot="1" x14ac:dyDescent="0.3">
      <c r="A41" s="443" t="s">
        <v>93</v>
      </c>
      <c r="B41" s="444"/>
      <c r="C41" s="444"/>
      <c r="D41" s="444"/>
      <c r="E41" s="445"/>
      <c r="F41" s="8"/>
      <c r="G41" s="4"/>
    </row>
    <row r="42" spans="1:7" s="2" customFormat="1" ht="15" customHeight="1" thickBot="1" x14ac:dyDescent="0.3">
      <c r="A42" s="440" t="s">
        <v>40</v>
      </c>
      <c r="B42" s="441"/>
      <c r="C42" s="441"/>
      <c r="D42" s="442"/>
      <c r="E42" s="44" t="s">
        <v>41</v>
      </c>
      <c r="F42" s="8"/>
      <c r="G42" s="4"/>
    </row>
    <row r="43" spans="1:7" s="2" customFormat="1" ht="15" customHeight="1" x14ac:dyDescent="0.25">
      <c r="A43" s="67" t="str">
        <f>+A54</f>
        <v>1.1. Coletor Turno Dia CBO 5142</v>
      </c>
      <c r="B43" s="68"/>
      <c r="C43" s="68"/>
      <c r="D43" s="69"/>
      <c r="E43" s="70">
        <v>2</v>
      </c>
      <c r="F43" s="8"/>
      <c r="G43" s="4"/>
    </row>
    <row r="44" spans="1:7" s="2" customFormat="1" ht="15" customHeight="1" x14ac:dyDescent="0.25">
      <c r="A44" s="61" t="str">
        <f>+A67</f>
        <v>1.2. Motorista Turno do Dia</v>
      </c>
      <c r="B44" s="60"/>
      <c r="C44" s="60"/>
      <c r="D44" s="71"/>
      <c r="E44" s="64">
        <f>C79</f>
        <v>1</v>
      </c>
      <c r="F44" s="8"/>
      <c r="G44" s="4"/>
    </row>
    <row r="45" spans="1:7" s="2" customFormat="1" ht="15" customHeight="1" x14ac:dyDescent="0.25">
      <c r="A45" s="61" t="str">
        <f>+A82</f>
        <v>1.3. Encarregado/Supervisor</v>
      </c>
      <c r="B45" s="60"/>
      <c r="C45" s="60"/>
      <c r="D45" s="71"/>
      <c r="E45" s="64">
        <f>C100</f>
        <v>1</v>
      </c>
      <c r="F45" s="8"/>
      <c r="G45" s="4"/>
    </row>
    <row r="46" spans="1:7" s="2" customFormat="1" ht="15" customHeight="1" thickBot="1" x14ac:dyDescent="0.3">
      <c r="A46" s="65" t="s">
        <v>59</v>
      </c>
      <c r="B46" s="66"/>
      <c r="C46" s="66"/>
      <c r="D46" s="72"/>
      <c r="E46" s="73">
        <f>SUM(E43:E45)</f>
        <v>4</v>
      </c>
      <c r="F46" s="8"/>
      <c r="G46" s="4"/>
    </row>
    <row r="47" spans="1:7" s="2" customFormat="1" ht="15" customHeight="1" thickBot="1" x14ac:dyDescent="0.3">
      <c r="A47" s="117"/>
      <c r="B47" s="118"/>
      <c r="C47" s="53"/>
      <c r="D47" s="53"/>
      <c r="E47" s="119"/>
      <c r="F47" s="8"/>
      <c r="G47" s="4"/>
    </row>
    <row r="48" spans="1:7" s="2" customFormat="1" ht="15" customHeight="1" x14ac:dyDescent="0.25">
      <c r="A48" s="430" t="s">
        <v>57</v>
      </c>
      <c r="B48" s="431"/>
      <c r="C48" s="431"/>
      <c r="D48" s="431"/>
      <c r="E48" s="44" t="s">
        <v>41</v>
      </c>
      <c r="F48" s="7"/>
      <c r="G48" s="4"/>
    </row>
    <row r="49" spans="1:8" s="2" customFormat="1" ht="15" customHeight="1" thickBot="1" x14ac:dyDescent="0.3">
      <c r="A49" s="120" t="str">
        <f>+A166</f>
        <v>3.1. Veículo Coletor com compactador</v>
      </c>
      <c r="B49" s="121"/>
      <c r="C49" s="121"/>
      <c r="D49" s="122"/>
      <c r="E49" s="123">
        <f>C181</f>
        <v>1</v>
      </c>
      <c r="F49" s="7"/>
      <c r="G49" s="4"/>
    </row>
    <row r="50" spans="1:8" s="2" customFormat="1" ht="15" customHeight="1" thickBot="1" x14ac:dyDescent="0.3">
      <c r="A50" s="53"/>
      <c r="B50" s="53"/>
      <c r="C50" s="53"/>
      <c r="D50" s="7"/>
      <c r="E50" s="211"/>
      <c r="F50" s="7"/>
      <c r="G50" s="4"/>
    </row>
    <row r="51" spans="1:8" s="9" customFormat="1" ht="15.75" customHeight="1" thickBot="1" x14ac:dyDescent="0.3">
      <c r="A51" s="222" t="s">
        <v>167</v>
      </c>
      <c r="B51" s="261">
        <f>'6. Horários'!G18</f>
        <v>0.59090909090909094</v>
      </c>
      <c r="C51" s="32"/>
      <c r="E51" s="138"/>
      <c r="G51" s="40"/>
    </row>
    <row r="52" spans="1:8" s="2" customFormat="1" ht="15.75" customHeight="1" x14ac:dyDescent="0.25">
      <c r="A52" s="53"/>
      <c r="B52" s="53"/>
      <c r="C52" s="53"/>
      <c r="D52" s="7"/>
      <c r="E52" s="62"/>
      <c r="F52" s="7"/>
      <c r="G52" s="4"/>
    </row>
    <row r="53" spans="1:8" ht="13.2" customHeight="1" x14ac:dyDescent="0.25">
      <c r="A53" s="9" t="s">
        <v>48</v>
      </c>
    </row>
    <row r="54" spans="1:8" ht="13.95" customHeight="1" thickBot="1" x14ac:dyDescent="0.3">
      <c r="A54" s="5" t="s">
        <v>390</v>
      </c>
    </row>
    <row r="55" spans="1:8" ht="13.95" customHeight="1" thickBot="1" x14ac:dyDescent="0.3">
      <c r="A55" s="54" t="s">
        <v>63</v>
      </c>
      <c r="B55" s="55" t="s">
        <v>64</v>
      </c>
      <c r="C55" s="55" t="s">
        <v>41</v>
      </c>
      <c r="D55" s="56" t="s">
        <v>199</v>
      </c>
      <c r="E55" s="56" t="s">
        <v>65</v>
      </c>
      <c r="F55" s="57" t="s">
        <v>66</v>
      </c>
    </row>
    <row r="56" spans="1:8" ht="13.2" customHeight="1" x14ac:dyDescent="0.25">
      <c r="A56" s="11" t="s">
        <v>181</v>
      </c>
      <c r="B56" s="12" t="s">
        <v>8</v>
      </c>
      <c r="C56" s="12">
        <v>1</v>
      </c>
      <c r="D56" s="260">
        <v>2082.31</v>
      </c>
      <c r="E56" s="13">
        <f>C56*D56</f>
        <v>2082.31</v>
      </c>
    </row>
    <row r="57" spans="1:8" hidden="1" x14ac:dyDescent="0.25">
      <c r="A57" s="14" t="s">
        <v>35</v>
      </c>
      <c r="B57" s="15" t="s">
        <v>0</v>
      </c>
      <c r="C57" s="80"/>
      <c r="D57" s="16">
        <f>D56/220*2</f>
        <v>18.930090909090907</v>
      </c>
      <c r="E57" s="16">
        <f>C57*D57</f>
        <v>0</v>
      </c>
    </row>
    <row r="58" spans="1:8" ht="13.2" hidden="1" customHeight="1" x14ac:dyDescent="0.25">
      <c r="A58" s="14" t="s">
        <v>36</v>
      </c>
      <c r="B58" s="15" t="s">
        <v>0</v>
      </c>
      <c r="C58" s="80"/>
      <c r="D58" s="16">
        <f>D56/220*1.5</f>
        <v>14.19756818181818</v>
      </c>
      <c r="E58" s="16">
        <f>C58*D58</f>
        <v>0</v>
      </c>
    </row>
    <row r="59" spans="1:8" ht="13.2" hidden="1" customHeight="1" x14ac:dyDescent="0.25">
      <c r="A59" s="14" t="s">
        <v>185</v>
      </c>
      <c r="B59" s="15" t="s">
        <v>34</v>
      </c>
      <c r="D59" s="16">
        <f>63/302*(SUM(E57:E58))</f>
        <v>0</v>
      </c>
      <c r="E59" s="16">
        <f>D59</f>
        <v>0</v>
      </c>
    </row>
    <row r="60" spans="1:8" x14ac:dyDescent="0.25">
      <c r="A60" s="14" t="s">
        <v>1</v>
      </c>
      <c r="B60" s="15" t="s">
        <v>2</v>
      </c>
      <c r="C60" s="15">
        <v>40</v>
      </c>
      <c r="D60" s="75">
        <f>SUM(E56:E59)</f>
        <v>2082.31</v>
      </c>
      <c r="E60" s="16">
        <f>C60*D60/100</f>
        <v>832.92399999999998</v>
      </c>
    </row>
    <row r="61" spans="1:8" x14ac:dyDescent="0.25">
      <c r="A61" s="106" t="s">
        <v>3</v>
      </c>
      <c r="B61" s="107"/>
      <c r="C61" s="107"/>
      <c r="D61" s="108"/>
      <c r="E61" s="109">
        <f>SUM(E56:E60)</f>
        <v>2915.2339999999999</v>
      </c>
    </row>
    <row r="62" spans="1:8" x14ac:dyDescent="0.25">
      <c r="A62" s="14" t="s">
        <v>4</v>
      </c>
      <c r="B62" s="15" t="s">
        <v>2</v>
      </c>
      <c r="C62" s="127">
        <f>'3.Enc Sociais'!$C$38*100</f>
        <v>70.115340000000003</v>
      </c>
      <c r="D62" s="16">
        <f>E61</f>
        <v>2915.2339999999999</v>
      </c>
      <c r="E62" s="16">
        <f>D62*C62/100</f>
        <v>2044.0262308956001</v>
      </c>
    </row>
    <row r="63" spans="1:8" x14ac:dyDescent="0.25">
      <c r="A63" s="106" t="s">
        <v>72</v>
      </c>
      <c r="B63" s="107"/>
      <c r="C63" s="107"/>
      <c r="D63" s="108"/>
      <c r="E63" s="109">
        <f>E61+E62</f>
        <v>4959.2602308956002</v>
      </c>
    </row>
    <row r="64" spans="1:8" ht="13.8" thickBot="1" x14ac:dyDescent="0.3">
      <c r="A64" s="14" t="s">
        <v>5</v>
      </c>
      <c r="B64" s="15" t="s">
        <v>6</v>
      </c>
      <c r="C64" s="82">
        <f>E43</f>
        <v>2</v>
      </c>
      <c r="D64" s="16">
        <f>E63</f>
        <v>4959.2602308956002</v>
      </c>
      <c r="E64" s="16">
        <f>C64*D64</f>
        <v>9918.5204617912004</v>
      </c>
      <c r="G64" s="4"/>
      <c r="H64" s="277"/>
    </row>
    <row r="65" spans="1:8" ht="13.95" customHeight="1" thickBot="1" x14ac:dyDescent="0.3">
      <c r="A65" s="5"/>
      <c r="D65" s="111" t="s">
        <v>166</v>
      </c>
      <c r="E65" s="262">
        <f>$B$51</f>
        <v>0.59090909090909094</v>
      </c>
      <c r="F65" s="112">
        <f>E64*E65</f>
        <v>5860.9439092402554</v>
      </c>
      <c r="G65" s="4"/>
      <c r="H65" s="277"/>
    </row>
    <row r="66" spans="1:8" ht="11.25" customHeight="1" x14ac:dyDescent="0.25"/>
    <row r="67" spans="1:8" ht="13.8" thickBot="1" x14ac:dyDescent="0.3">
      <c r="A67" s="5" t="s">
        <v>344</v>
      </c>
    </row>
    <row r="68" spans="1:8" s="10" customFormat="1" ht="13.2" customHeight="1" thickBot="1" x14ac:dyDescent="0.3">
      <c r="A68" s="54" t="s">
        <v>63</v>
      </c>
      <c r="B68" s="55" t="s">
        <v>64</v>
      </c>
      <c r="C68" s="55" t="s">
        <v>41</v>
      </c>
      <c r="D68" s="56" t="s">
        <v>199</v>
      </c>
      <c r="E68" s="56" t="s">
        <v>65</v>
      </c>
      <c r="F68" s="57" t="s">
        <v>66</v>
      </c>
      <c r="G68" s="8"/>
    </row>
    <row r="69" spans="1:8" x14ac:dyDescent="0.25">
      <c r="A69" s="258" t="s">
        <v>251</v>
      </c>
      <c r="B69" s="12" t="s">
        <v>8</v>
      </c>
      <c r="C69" s="12">
        <v>1</v>
      </c>
      <c r="D69" s="260">
        <v>2475.6</v>
      </c>
      <c r="E69" s="13">
        <f>C69*D69</f>
        <v>2475.6</v>
      </c>
    </row>
    <row r="70" spans="1:8" x14ac:dyDescent="0.25">
      <c r="A70" s="258" t="s">
        <v>252</v>
      </c>
      <c r="B70" s="12" t="s">
        <v>8</v>
      </c>
      <c r="C70" s="12">
        <v>1</v>
      </c>
      <c r="D70" s="79">
        <v>1621</v>
      </c>
      <c r="E70" s="13"/>
    </row>
    <row r="71" spans="1:8" hidden="1" x14ac:dyDescent="0.25">
      <c r="A71" s="14" t="s">
        <v>35</v>
      </c>
      <c r="B71" s="15" t="s">
        <v>0</v>
      </c>
      <c r="C71" s="80"/>
      <c r="D71" s="16">
        <f>D69/220*2</f>
        <v>22.505454545454544</v>
      </c>
      <c r="E71" s="16">
        <f>C71*D71</f>
        <v>0</v>
      </c>
    </row>
    <row r="72" spans="1:8" hidden="1" x14ac:dyDescent="0.25">
      <c r="A72" s="14" t="s">
        <v>36</v>
      </c>
      <c r="B72" s="15" t="s">
        <v>0</v>
      </c>
      <c r="C72" s="80"/>
      <c r="D72" s="16">
        <f>D69/220*1.5</f>
        <v>16.879090909090909</v>
      </c>
      <c r="E72" s="16">
        <f>C72*D72</f>
        <v>0</v>
      </c>
    </row>
    <row r="73" spans="1:8" ht="13.2" hidden="1" customHeight="1" x14ac:dyDescent="0.25">
      <c r="A73" s="14" t="s">
        <v>185</v>
      </c>
      <c r="B73" s="15" t="s">
        <v>34</v>
      </c>
      <c r="D73" s="16">
        <f>63/302*(SUM(E71:E72))</f>
        <v>0</v>
      </c>
      <c r="E73" s="16">
        <f>D73</f>
        <v>0</v>
      </c>
    </row>
    <row r="74" spans="1:8" x14ac:dyDescent="0.25">
      <c r="A74" s="14" t="s">
        <v>182</v>
      </c>
      <c r="B74" s="15"/>
      <c r="C74" s="82">
        <v>1</v>
      </c>
      <c r="D74" s="16"/>
      <c r="E74" s="16"/>
    </row>
    <row r="75" spans="1:8" x14ac:dyDescent="0.25">
      <c r="A75" s="14" t="s">
        <v>1</v>
      </c>
      <c r="B75" s="15" t="s">
        <v>2</v>
      </c>
      <c r="C75" s="78">
        <v>40</v>
      </c>
      <c r="D75" s="75">
        <f>IF(C74=2,SUM(E69:E73),IF(C74=1,(SUM(E69:E73))*D70/D69,0))</f>
        <v>1621</v>
      </c>
      <c r="E75" s="16">
        <f>C75*D75/100</f>
        <v>648.4</v>
      </c>
    </row>
    <row r="76" spans="1:8" s="9" customFormat="1" x14ac:dyDescent="0.25">
      <c r="A76" s="93" t="s">
        <v>3</v>
      </c>
      <c r="B76" s="107"/>
      <c r="C76" s="107"/>
      <c r="D76" s="108"/>
      <c r="E76" s="95">
        <f>SUM(E69:E75)</f>
        <v>3124</v>
      </c>
      <c r="F76" s="40"/>
      <c r="G76" s="40"/>
    </row>
    <row r="77" spans="1:8" x14ac:dyDescent="0.25">
      <c r="A77" s="14" t="s">
        <v>4</v>
      </c>
      <c r="B77" s="15" t="s">
        <v>2</v>
      </c>
      <c r="C77" s="127">
        <f>'3.Enc Sociais'!$C$38*100</f>
        <v>70.115340000000003</v>
      </c>
      <c r="D77" s="16">
        <f>E76</f>
        <v>3124</v>
      </c>
      <c r="E77" s="16">
        <f>D77*C77/100</f>
        <v>2190.4032216000001</v>
      </c>
    </row>
    <row r="78" spans="1:8" s="9" customFormat="1" x14ac:dyDescent="0.25">
      <c r="A78" s="93" t="s">
        <v>213</v>
      </c>
      <c r="B78" s="228"/>
      <c r="C78" s="228"/>
      <c r="D78" s="229"/>
      <c r="E78" s="95">
        <f>E76+E77</f>
        <v>5314.4032215999996</v>
      </c>
      <c r="F78" s="40"/>
      <c r="G78" s="40"/>
    </row>
    <row r="79" spans="1:8" ht="13.8" thickBot="1" x14ac:dyDescent="0.3">
      <c r="A79" s="14" t="s">
        <v>5</v>
      </c>
      <c r="B79" s="15" t="s">
        <v>6</v>
      </c>
      <c r="C79" s="78">
        <v>1</v>
      </c>
      <c r="D79" s="16">
        <f>E78</f>
        <v>5314.4032215999996</v>
      </c>
      <c r="E79" s="16">
        <f>C79*D79</f>
        <v>5314.4032215999996</v>
      </c>
    </row>
    <row r="80" spans="1:8" ht="13.8" thickBot="1" x14ac:dyDescent="0.3">
      <c r="A80" s="5" t="s">
        <v>420</v>
      </c>
      <c r="D80" s="111" t="s">
        <v>166</v>
      </c>
      <c r="E80" s="262">
        <f>'6. Horários'!G30</f>
        <v>0.81818181818181823</v>
      </c>
      <c r="F80" s="112">
        <f>E79*E80</f>
        <v>4348.1480904</v>
      </c>
      <c r="H80" s="277"/>
    </row>
    <row r="81" spans="1:7" ht="14.25" customHeight="1" x14ac:dyDescent="0.25">
      <c r="A81" s="5"/>
    </row>
    <row r="82" spans="1:7" ht="13.8" thickBot="1" x14ac:dyDescent="0.3">
      <c r="A82" s="5" t="s">
        <v>345</v>
      </c>
    </row>
    <row r="83" spans="1:7" ht="13.8" thickBot="1" x14ac:dyDescent="0.3">
      <c r="A83" s="54" t="s">
        <v>63</v>
      </c>
      <c r="B83" s="55" t="s">
        <v>64</v>
      </c>
      <c r="C83" s="55" t="s">
        <v>41</v>
      </c>
      <c r="D83" s="56" t="s">
        <v>199</v>
      </c>
      <c r="E83" s="56" t="s">
        <v>65</v>
      </c>
      <c r="F83" s="57" t="s">
        <v>66</v>
      </c>
    </row>
    <row r="84" spans="1:7" x14ac:dyDescent="0.25">
      <c r="A84" s="258" t="s">
        <v>359</v>
      </c>
      <c r="B84" s="12" t="s">
        <v>8</v>
      </c>
      <c r="C84" s="12">
        <v>1</v>
      </c>
      <c r="D84" s="79">
        <f>2700*1.0446</f>
        <v>2820.42</v>
      </c>
      <c r="E84" s="13">
        <f>C84*D84</f>
        <v>2820.42</v>
      </c>
    </row>
    <row r="85" spans="1:7" hidden="1" x14ac:dyDescent="0.25">
      <c r="A85" s="258" t="s">
        <v>252</v>
      </c>
      <c r="B85" s="12" t="s">
        <v>8</v>
      </c>
      <c r="C85" s="12">
        <v>1</v>
      </c>
      <c r="D85" s="16">
        <f>D70</f>
        <v>1621</v>
      </c>
      <c r="E85" s="16"/>
    </row>
    <row r="86" spans="1:7" hidden="1" x14ac:dyDescent="0.25">
      <c r="A86" s="14" t="s">
        <v>7</v>
      </c>
      <c r="B86" s="15" t="s">
        <v>94</v>
      </c>
      <c r="C86" s="80"/>
      <c r="D86" s="14"/>
      <c r="E86" s="14"/>
    </row>
    <row r="87" spans="1:7" hidden="1" x14ac:dyDescent="0.25">
      <c r="A87" s="14"/>
      <c r="B87" s="15" t="s">
        <v>96</v>
      </c>
      <c r="C87" s="16">
        <f>C86*8/7</f>
        <v>0</v>
      </c>
      <c r="D87" s="16">
        <f>D84/220*0.2</f>
        <v>2.5640181818181822</v>
      </c>
      <c r="E87" s="16">
        <f>C86*D87</f>
        <v>0</v>
      </c>
    </row>
    <row r="88" spans="1:7" hidden="1" x14ac:dyDescent="0.25">
      <c r="A88" s="14" t="s">
        <v>35</v>
      </c>
      <c r="B88" s="15" t="s">
        <v>0</v>
      </c>
      <c r="C88" s="80"/>
      <c r="D88" s="16">
        <f>D84/220*2</f>
        <v>25.640181818181819</v>
      </c>
      <c r="E88" s="16">
        <f>C88*D88</f>
        <v>0</v>
      </c>
      <c r="G88" s="8" t="s">
        <v>209</v>
      </c>
    </row>
    <row r="89" spans="1:7" hidden="1" x14ac:dyDescent="0.25">
      <c r="A89" s="14" t="s">
        <v>95</v>
      </c>
      <c r="B89" s="15" t="s">
        <v>94</v>
      </c>
      <c r="C89" s="80"/>
      <c r="D89" s="16"/>
      <c r="E89" s="16"/>
      <c r="G89" s="8" t="s">
        <v>210</v>
      </c>
    </row>
    <row r="90" spans="1:7" hidden="1" x14ac:dyDescent="0.25">
      <c r="A90" s="14"/>
      <c r="B90" s="15" t="s">
        <v>96</v>
      </c>
      <c r="C90" s="16">
        <f>C89*8/7</f>
        <v>0</v>
      </c>
      <c r="D90" s="16">
        <f>D84/220*2*1.2</f>
        <v>30.768218181818181</v>
      </c>
      <c r="E90" s="16">
        <f>C90*D90</f>
        <v>0</v>
      </c>
      <c r="G90" s="8" t="s">
        <v>210</v>
      </c>
    </row>
    <row r="91" spans="1:7" hidden="1" x14ac:dyDescent="0.25">
      <c r="A91" s="14" t="s">
        <v>36</v>
      </c>
      <c r="B91" s="15" t="s">
        <v>0</v>
      </c>
      <c r="C91" s="80"/>
      <c r="D91" s="16">
        <f>D84/220*1.5</f>
        <v>19.230136363636365</v>
      </c>
      <c r="E91" s="16">
        <f>C91*D91</f>
        <v>0</v>
      </c>
      <c r="G91" s="8" t="s">
        <v>211</v>
      </c>
    </row>
    <row r="92" spans="1:7" hidden="1" x14ac:dyDescent="0.25">
      <c r="A92" s="14" t="s">
        <v>183</v>
      </c>
      <c r="B92" s="15" t="s">
        <v>94</v>
      </c>
      <c r="C92" s="80"/>
      <c r="D92" s="16"/>
      <c r="E92" s="16"/>
      <c r="G92" s="8" t="s">
        <v>212</v>
      </c>
    </row>
    <row r="93" spans="1:7" hidden="1" x14ac:dyDescent="0.25">
      <c r="A93" s="14"/>
      <c r="B93" s="15" t="s">
        <v>96</v>
      </c>
      <c r="C93" s="16">
        <f>C92*8/7</f>
        <v>0</v>
      </c>
      <c r="D93" s="16">
        <f>D84/220*1.5*1.2</f>
        <v>23.076163636363638</v>
      </c>
      <c r="E93" s="16">
        <f>C93*D93</f>
        <v>0</v>
      </c>
      <c r="G93" s="8" t="s">
        <v>212</v>
      </c>
    </row>
    <row r="94" spans="1:7" ht="13.2" hidden="1" customHeight="1" x14ac:dyDescent="0.25">
      <c r="A94" s="14" t="s">
        <v>185</v>
      </c>
      <c r="B94" s="15" t="s">
        <v>34</v>
      </c>
      <c r="D94" s="16">
        <f>63/302*(SUM(E88:E93))</f>
        <v>0</v>
      </c>
      <c r="E94" s="16">
        <f>D94</f>
        <v>0</v>
      </c>
      <c r="G94" s="8" t="s">
        <v>184</v>
      </c>
    </row>
    <row r="95" spans="1:7" hidden="1" x14ac:dyDescent="0.25">
      <c r="A95" s="14" t="s">
        <v>182</v>
      </c>
      <c r="B95" s="15"/>
      <c r="C95" s="82"/>
      <c r="D95" s="16"/>
      <c r="E95" s="16"/>
    </row>
    <row r="96" spans="1:7" hidden="1" x14ac:dyDescent="0.25">
      <c r="A96" s="14" t="s">
        <v>1</v>
      </c>
      <c r="B96" s="15" t="s">
        <v>2</v>
      </c>
      <c r="C96" s="75">
        <f>+C75</f>
        <v>40</v>
      </c>
      <c r="D96" s="75">
        <f>IF(C95=2,SUM(E84:E94),IF(C95=1,SUM(E84:E94)*D85/D84,0))</f>
        <v>0</v>
      </c>
      <c r="E96" s="16">
        <f>C96*D96/100</f>
        <v>0</v>
      </c>
    </row>
    <row r="97" spans="1:8" s="9" customFormat="1" x14ac:dyDescent="0.25">
      <c r="A97" s="106" t="s">
        <v>3</v>
      </c>
      <c r="B97" s="107"/>
      <c r="C97" s="107"/>
      <c r="D97" s="108"/>
      <c r="E97" s="109">
        <f>SUM(E84:E96)</f>
        <v>2820.42</v>
      </c>
      <c r="F97" s="40"/>
      <c r="G97" s="40"/>
    </row>
    <row r="98" spans="1:8" x14ac:dyDescent="0.25">
      <c r="A98" s="14" t="s">
        <v>4</v>
      </c>
      <c r="B98" s="15" t="s">
        <v>2</v>
      </c>
      <c r="C98" s="127">
        <f>'3.Enc Sociais'!$C$38*100</f>
        <v>70.115340000000003</v>
      </c>
      <c r="D98" s="16">
        <f>E97</f>
        <v>2820.42</v>
      </c>
      <c r="E98" s="16">
        <f>D98*C98/100</f>
        <v>1977.5470724280001</v>
      </c>
    </row>
    <row r="99" spans="1:8" s="9" customFormat="1" x14ac:dyDescent="0.25">
      <c r="A99" s="106" t="s">
        <v>336</v>
      </c>
      <c r="B99" s="107"/>
      <c r="C99" s="107"/>
      <c r="D99" s="108"/>
      <c r="E99" s="109">
        <f>E97+E98</f>
        <v>4797.9670724280004</v>
      </c>
      <c r="F99" s="40"/>
      <c r="G99" s="40"/>
    </row>
    <row r="100" spans="1:8" ht="13.8" thickBot="1" x14ac:dyDescent="0.3">
      <c r="A100" s="14" t="s">
        <v>5</v>
      </c>
      <c r="B100" s="15" t="s">
        <v>6</v>
      </c>
      <c r="C100" s="78">
        <v>1</v>
      </c>
      <c r="D100" s="16">
        <f>E99</f>
        <v>4797.9670724280004</v>
      </c>
      <c r="E100" s="16">
        <f>C100*D100</f>
        <v>4797.9670724280004</v>
      </c>
    </row>
    <row r="101" spans="1:8" ht="13.8" thickBot="1" x14ac:dyDescent="0.3">
      <c r="A101" s="9" t="s">
        <v>404</v>
      </c>
      <c r="D101" s="111" t="s">
        <v>166</v>
      </c>
      <c r="E101" s="262">
        <f>2/44</f>
        <v>4.5454545454545456E-2</v>
      </c>
      <c r="F101" s="112">
        <f>E100*E101</f>
        <v>218.08941238309095</v>
      </c>
    </row>
    <row r="102" spans="1:8" ht="11.25" customHeight="1" x14ac:dyDescent="0.25">
      <c r="G102" s="7"/>
    </row>
    <row r="103" spans="1:8" ht="13.8" thickBot="1" x14ac:dyDescent="0.3">
      <c r="A103" s="5" t="s">
        <v>346</v>
      </c>
      <c r="B103" s="85"/>
      <c r="D103" s="7"/>
      <c r="E103" s="277"/>
      <c r="G103" s="7"/>
    </row>
    <row r="104" spans="1:8" ht="13.8" thickBot="1" x14ac:dyDescent="0.3">
      <c r="A104" s="54" t="s">
        <v>63</v>
      </c>
      <c r="B104" s="55" t="s">
        <v>64</v>
      </c>
      <c r="C104" s="55" t="s">
        <v>41</v>
      </c>
      <c r="D104" s="56" t="s">
        <v>199</v>
      </c>
      <c r="E104" s="56" t="s">
        <v>65</v>
      </c>
      <c r="F104" s="57" t="s">
        <v>66</v>
      </c>
      <c r="G104" s="7"/>
    </row>
    <row r="105" spans="1:8" x14ac:dyDescent="0.25">
      <c r="A105" s="14" t="s">
        <v>87</v>
      </c>
      <c r="B105" s="15" t="s">
        <v>34</v>
      </c>
      <c r="C105" s="86">
        <v>1</v>
      </c>
      <c r="D105" s="84">
        <v>4.95</v>
      </c>
      <c r="E105" s="16"/>
      <c r="G105" s="7"/>
    </row>
    <row r="106" spans="1:8" x14ac:dyDescent="0.25">
      <c r="A106" s="14" t="s">
        <v>88</v>
      </c>
      <c r="B106" s="15" t="s">
        <v>89</v>
      </c>
      <c r="C106" s="83">
        <v>17</v>
      </c>
      <c r="D106" s="16"/>
      <c r="E106" s="16"/>
      <c r="G106" s="77"/>
      <c r="H106" s="77"/>
    </row>
    <row r="107" spans="1:8" x14ac:dyDescent="0.25">
      <c r="A107" s="14" t="s">
        <v>73</v>
      </c>
      <c r="B107" s="15" t="s">
        <v>9</v>
      </c>
      <c r="C107" s="34">
        <f>$C$106*2*(C64)</f>
        <v>68</v>
      </c>
      <c r="D107" s="13">
        <f>D105-(E56/42*0.06)</f>
        <v>1.9752714285714288</v>
      </c>
      <c r="E107" s="16">
        <f>IFERROR(C107*D107,"-")</f>
        <v>134.31845714285717</v>
      </c>
      <c r="H107" s="77"/>
    </row>
    <row r="108" spans="1:8" ht="13.8" thickBot="1" x14ac:dyDescent="0.3">
      <c r="A108" s="11" t="s">
        <v>45</v>
      </c>
      <c r="B108" s="12" t="s">
        <v>9</v>
      </c>
      <c r="C108" s="34">
        <f>C79*C106*2</f>
        <v>34</v>
      </c>
      <c r="D108" s="13">
        <f>D105-(E69/42*0.06)</f>
        <v>1.4134285714285717</v>
      </c>
      <c r="E108" s="13">
        <f>IFERROR(C108*D108,"-")</f>
        <v>48.056571428571438</v>
      </c>
      <c r="G108" s="7"/>
      <c r="H108" s="77"/>
    </row>
    <row r="109" spans="1:8" ht="13.8" thickBot="1" x14ac:dyDescent="0.3">
      <c r="F109" s="20">
        <f>SUM(E107:E108)</f>
        <v>182.3750285714286</v>
      </c>
      <c r="G109" s="7"/>
    </row>
    <row r="110" spans="1:8" ht="11.25" customHeight="1" x14ac:dyDescent="0.25">
      <c r="G110" s="7"/>
    </row>
    <row r="111" spans="1:8" ht="13.8" thickBot="1" x14ac:dyDescent="0.3">
      <c r="A111" s="5" t="s">
        <v>366</v>
      </c>
      <c r="F111" s="21"/>
      <c r="G111" s="7"/>
    </row>
    <row r="112" spans="1:8" ht="13.8" thickBot="1" x14ac:dyDescent="0.3">
      <c r="A112" s="54" t="s">
        <v>63</v>
      </c>
      <c r="B112" s="55" t="s">
        <v>64</v>
      </c>
      <c r="C112" s="55" t="s">
        <v>41</v>
      </c>
      <c r="D112" s="56" t="s">
        <v>199</v>
      </c>
      <c r="E112" s="56" t="s">
        <v>65</v>
      </c>
      <c r="F112" s="57" t="s">
        <v>66</v>
      </c>
      <c r="G112" s="7"/>
    </row>
    <row r="113" spans="1:7" x14ac:dyDescent="0.25">
      <c r="A113" s="14" t="str">
        <f>+A107</f>
        <v>Coletor</v>
      </c>
      <c r="B113" s="15" t="s">
        <v>10</v>
      </c>
      <c r="C113" s="92">
        <f>C106*(E43)</f>
        <v>34</v>
      </c>
      <c r="D113" s="81">
        <f>27.15*0.81</f>
        <v>21.991500000000002</v>
      </c>
      <c r="E113" s="46">
        <f>C113*D113</f>
        <v>747.71100000000001</v>
      </c>
      <c r="F113" s="21"/>
      <c r="G113" s="7"/>
    </row>
    <row r="114" spans="1:7" ht="13.8" thickBot="1" x14ac:dyDescent="0.3">
      <c r="A114" s="274" t="s">
        <v>45</v>
      </c>
      <c r="B114" s="15" t="s">
        <v>10</v>
      </c>
      <c r="C114" s="92">
        <f>C106*(E44)</f>
        <v>17</v>
      </c>
      <c r="D114" s="81">
        <f>19*0.8</f>
        <v>15.200000000000001</v>
      </c>
      <c r="E114" s="46">
        <f>C114*D114</f>
        <v>258.40000000000003</v>
      </c>
      <c r="F114" s="21"/>
      <c r="G114" s="7"/>
    </row>
    <row r="115" spans="1:7" ht="13.8" thickBot="1" x14ac:dyDescent="0.3">
      <c r="A115" s="5"/>
      <c r="F115" s="20">
        <f>SUM(E113:E114)</f>
        <v>1006.1110000000001</v>
      </c>
      <c r="G115" s="7"/>
    </row>
    <row r="116" spans="1:7" x14ac:dyDescent="0.25">
      <c r="G116" s="7"/>
    </row>
    <row r="117" spans="1:7" ht="13.8" thickBot="1" x14ac:dyDescent="0.3">
      <c r="A117" s="5" t="s">
        <v>417</v>
      </c>
      <c r="F117" s="21"/>
      <c r="G117" s="7"/>
    </row>
    <row r="118" spans="1:7" ht="13.8" thickBot="1" x14ac:dyDescent="0.3">
      <c r="A118" s="54" t="s">
        <v>63</v>
      </c>
      <c r="B118" s="55" t="s">
        <v>64</v>
      </c>
      <c r="C118" s="55" t="s">
        <v>41</v>
      </c>
      <c r="D118" s="56" t="s">
        <v>199</v>
      </c>
      <c r="E118" s="56" t="s">
        <v>65</v>
      </c>
      <c r="F118" s="57" t="s">
        <v>66</v>
      </c>
      <c r="G118" s="7"/>
    </row>
    <row r="119" spans="1:7" x14ac:dyDescent="0.25">
      <c r="A119" s="274" t="s">
        <v>418</v>
      </c>
      <c r="B119" s="297" t="s">
        <v>8</v>
      </c>
      <c r="C119" s="92">
        <f>E44</f>
        <v>1</v>
      </c>
      <c r="D119" s="81">
        <f>125</f>
        <v>125</v>
      </c>
      <c r="E119" s="46">
        <f>C119*D119</f>
        <v>125</v>
      </c>
      <c r="F119" s="21"/>
      <c r="G119" s="7"/>
    </row>
    <row r="120" spans="1:7" x14ac:dyDescent="0.25">
      <c r="A120" s="274" t="s">
        <v>419</v>
      </c>
      <c r="B120" s="297" t="s">
        <v>8</v>
      </c>
      <c r="C120" s="92">
        <f>E45</f>
        <v>1</v>
      </c>
      <c r="D120" s="81">
        <f>138*0.8</f>
        <v>110.4</v>
      </c>
      <c r="E120" s="46">
        <f>C120*D120</f>
        <v>110.4</v>
      </c>
      <c r="F120" s="21"/>
      <c r="G120" s="7"/>
    </row>
    <row r="121" spans="1:7" s="5" customFormat="1" ht="13.8" thickBot="1" x14ac:dyDescent="0.3">
      <c r="A121" s="274" t="s">
        <v>410</v>
      </c>
      <c r="B121" s="297" t="s">
        <v>8</v>
      </c>
      <c r="C121" s="421">
        <f>C119</f>
        <v>1</v>
      </c>
      <c r="D121" s="284">
        <v>30</v>
      </c>
      <c r="E121" s="422">
        <f>C121*D121</f>
        <v>30</v>
      </c>
      <c r="F121" s="21"/>
    </row>
    <row r="122" spans="1:7" ht="13.8" thickBot="1" x14ac:dyDescent="0.3">
      <c r="D122" s="111" t="s">
        <v>166</v>
      </c>
      <c r="E122" s="262">
        <f>E80</f>
        <v>0.81818181818181823</v>
      </c>
      <c r="F122" s="20">
        <f>SUM(E119:E121)*E122</f>
        <v>217.14545454545453</v>
      </c>
      <c r="G122" s="7"/>
    </row>
    <row r="123" spans="1:7" x14ac:dyDescent="0.25">
      <c r="D123" s="111"/>
      <c r="E123" s="298"/>
      <c r="G123" s="7"/>
    </row>
    <row r="124" spans="1:7" ht="13.8" thickBot="1" x14ac:dyDescent="0.3">
      <c r="A124" s="5" t="s">
        <v>431</v>
      </c>
      <c r="B124" s="5"/>
      <c r="C124" s="5"/>
      <c r="D124" s="280"/>
      <c r="E124" s="280"/>
      <c r="F124" s="21"/>
      <c r="G124" s="7"/>
    </row>
    <row r="125" spans="1:7" ht="13.8" thickBot="1" x14ac:dyDescent="0.3">
      <c r="A125" s="54" t="s">
        <v>63</v>
      </c>
      <c r="B125" s="55" t="s">
        <v>64</v>
      </c>
      <c r="C125" s="55" t="s">
        <v>41</v>
      </c>
      <c r="D125" s="56" t="s">
        <v>199</v>
      </c>
      <c r="E125" s="56" t="s">
        <v>65</v>
      </c>
      <c r="F125" s="57" t="s">
        <v>66</v>
      </c>
      <c r="G125" s="7"/>
    </row>
    <row r="126" spans="1:7" x14ac:dyDescent="0.25">
      <c r="A126" s="274" t="s">
        <v>318</v>
      </c>
      <c r="B126" s="297" t="s">
        <v>10</v>
      </c>
      <c r="C126" s="299">
        <f>C64</f>
        <v>2</v>
      </c>
      <c r="D126" s="300">
        <v>25.52</v>
      </c>
      <c r="E126" s="301">
        <f>C126*D126</f>
        <v>51.04</v>
      </c>
      <c r="F126" s="21"/>
      <c r="G126" s="7"/>
    </row>
    <row r="127" spans="1:7" ht="13.8" thickBot="1" x14ac:dyDescent="0.3">
      <c r="A127" s="274" t="s">
        <v>432</v>
      </c>
      <c r="B127" s="297" t="s">
        <v>10</v>
      </c>
      <c r="C127" s="299">
        <f>C126</f>
        <v>2</v>
      </c>
      <c r="D127" s="300">
        <v>80</v>
      </c>
      <c r="E127" s="301">
        <f>C127*D127</f>
        <v>160</v>
      </c>
      <c r="F127" s="21"/>
      <c r="G127" s="7"/>
    </row>
    <row r="128" spans="1:7" ht="13.8" thickBot="1" x14ac:dyDescent="0.3">
      <c r="A128" s="302"/>
      <c r="B128" s="302"/>
      <c r="C128" s="5"/>
      <c r="D128" s="282" t="s">
        <v>317</v>
      </c>
      <c r="E128" s="306">
        <f>E65</f>
        <v>0.59090909090909094</v>
      </c>
      <c r="F128" s="303">
        <f>SUM(E126:E127)*E128</f>
        <v>124.70545454545454</v>
      </c>
      <c r="G128" s="7"/>
    </row>
    <row r="129" spans="1:7" ht="13.8" thickBot="1" x14ac:dyDescent="0.3">
      <c r="D129" s="111"/>
      <c r="E129" s="298"/>
      <c r="G129" s="7"/>
    </row>
    <row r="130" spans="1:7" ht="13.8" thickBot="1" x14ac:dyDescent="0.3">
      <c r="A130" s="22" t="s">
        <v>90</v>
      </c>
      <c r="B130" s="23"/>
      <c r="C130" s="23"/>
      <c r="D130" s="24"/>
      <c r="E130" s="25"/>
      <c r="F130" s="20">
        <f>F122+F115+F109+F101+F80+F65+F128</f>
        <v>11957.518349685683</v>
      </c>
      <c r="G130" s="7"/>
    </row>
    <row r="132" spans="1:7" x14ac:dyDescent="0.25">
      <c r="A132" s="9" t="s">
        <v>46</v>
      </c>
      <c r="G132" s="7"/>
    </row>
    <row r="133" spans="1:7" ht="13.95" customHeight="1" thickBot="1" x14ac:dyDescent="0.3">
      <c r="A133" s="7" t="s">
        <v>168</v>
      </c>
      <c r="G133" s="7"/>
    </row>
    <row r="134" spans="1:7" ht="27.75" customHeight="1" thickBot="1" x14ac:dyDescent="0.3">
      <c r="A134" s="54" t="s">
        <v>63</v>
      </c>
      <c r="B134" s="55" t="s">
        <v>64</v>
      </c>
      <c r="C134" s="230" t="s">
        <v>214</v>
      </c>
      <c r="D134" s="56" t="s">
        <v>199</v>
      </c>
      <c r="E134" s="56" t="s">
        <v>65</v>
      </c>
      <c r="F134" s="57" t="s">
        <v>66</v>
      </c>
      <c r="G134" s="7"/>
    </row>
    <row r="135" spans="1:7" x14ac:dyDescent="0.25">
      <c r="A135" s="258" t="s">
        <v>67</v>
      </c>
      <c r="B135" s="424" t="s">
        <v>10</v>
      </c>
      <c r="C135" s="425">
        <v>12</v>
      </c>
      <c r="D135" s="260">
        <v>170</v>
      </c>
      <c r="E135" s="322">
        <f t="shared" ref="E135:E147" si="2">IFERROR(D135/C135,0)</f>
        <v>14.166666666666666</v>
      </c>
      <c r="G135" s="7"/>
    </row>
    <row r="136" spans="1:7" ht="13.2" customHeight="1" x14ac:dyDescent="0.25">
      <c r="A136" s="274" t="s">
        <v>30</v>
      </c>
      <c r="B136" s="297" t="s">
        <v>10</v>
      </c>
      <c r="C136" s="273">
        <v>6</v>
      </c>
      <c r="D136" s="260">
        <v>75</v>
      </c>
      <c r="E136" s="322">
        <f t="shared" si="2"/>
        <v>12.5</v>
      </c>
      <c r="G136" s="7"/>
    </row>
    <row r="137" spans="1:7" ht="13.2" customHeight="1" x14ac:dyDescent="0.25">
      <c r="A137" s="274" t="s">
        <v>358</v>
      </c>
      <c r="B137" s="297" t="s">
        <v>10</v>
      </c>
      <c r="C137" s="273">
        <v>4</v>
      </c>
      <c r="D137" s="272">
        <v>45</v>
      </c>
      <c r="E137" s="322">
        <f t="shared" si="2"/>
        <v>11.25</v>
      </c>
      <c r="G137" s="7"/>
    </row>
    <row r="138" spans="1:7" x14ac:dyDescent="0.25">
      <c r="A138" s="274" t="s">
        <v>372</v>
      </c>
      <c r="B138" s="297" t="s">
        <v>10</v>
      </c>
      <c r="C138" s="273">
        <v>4</v>
      </c>
      <c r="D138" s="272">
        <v>43</v>
      </c>
      <c r="E138" s="322">
        <f t="shared" si="2"/>
        <v>10.75</v>
      </c>
      <c r="G138" s="7"/>
    </row>
    <row r="139" spans="1:7" x14ac:dyDescent="0.25">
      <c r="A139" s="274" t="s">
        <v>421</v>
      </c>
      <c r="B139" s="297" t="s">
        <v>10</v>
      </c>
      <c r="C139" s="273">
        <v>6</v>
      </c>
      <c r="D139" s="260">
        <v>48</v>
      </c>
      <c r="E139" s="322">
        <f t="shared" si="2"/>
        <v>8</v>
      </c>
      <c r="G139" s="7"/>
    </row>
    <row r="140" spans="1:7" ht="13.2" customHeight="1" x14ac:dyDescent="0.25">
      <c r="A140" s="274" t="s">
        <v>422</v>
      </c>
      <c r="B140" s="297" t="s">
        <v>10</v>
      </c>
      <c r="C140" s="273">
        <v>6</v>
      </c>
      <c r="D140" s="260">
        <v>50</v>
      </c>
      <c r="E140" s="322">
        <f t="shared" si="2"/>
        <v>8.3333333333333339</v>
      </c>
      <c r="G140" s="7"/>
    </row>
    <row r="141" spans="1:7" ht="13.95" customHeight="1" x14ac:dyDescent="0.25">
      <c r="A141" s="274" t="s">
        <v>423</v>
      </c>
      <c r="B141" s="297" t="s">
        <v>49</v>
      </c>
      <c r="C141" s="273">
        <v>6</v>
      </c>
      <c r="D141" s="260">
        <v>75</v>
      </c>
      <c r="E141" s="322">
        <f t="shared" si="2"/>
        <v>12.5</v>
      </c>
      <c r="G141" s="7"/>
    </row>
    <row r="142" spans="1:7" ht="13.2" customHeight="1" x14ac:dyDescent="0.25">
      <c r="A142" s="274" t="s">
        <v>91</v>
      </c>
      <c r="B142" s="297" t="s">
        <v>49</v>
      </c>
      <c r="C142" s="273">
        <v>2</v>
      </c>
      <c r="D142" s="260">
        <v>12</v>
      </c>
      <c r="E142" s="322">
        <f t="shared" si="2"/>
        <v>6</v>
      </c>
    </row>
    <row r="143" spans="1:7" ht="13.2" customHeight="1" x14ac:dyDescent="0.25">
      <c r="A143" s="274" t="s">
        <v>68</v>
      </c>
      <c r="B143" s="297" t="s">
        <v>10</v>
      </c>
      <c r="C143" s="273">
        <v>6</v>
      </c>
      <c r="D143" s="260">
        <v>55</v>
      </c>
      <c r="E143" s="322">
        <f t="shared" si="2"/>
        <v>9.1666666666666661</v>
      </c>
    </row>
    <row r="144" spans="1:7" ht="13.2" customHeight="1" x14ac:dyDescent="0.25">
      <c r="A144" s="292" t="s">
        <v>11</v>
      </c>
      <c r="B144" s="426" t="s">
        <v>10</v>
      </c>
      <c r="C144" s="273">
        <v>6</v>
      </c>
      <c r="D144" s="260">
        <v>33</v>
      </c>
      <c r="E144" s="322">
        <f t="shared" si="2"/>
        <v>5.5</v>
      </c>
    </row>
    <row r="145" spans="1:7" ht="13.2" customHeight="1" x14ac:dyDescent="0.25">
      <c r="A145" s="274" t="s">
        <v>32</v>
      </c>
      <c r="B145" s="297" t="s">
        <v>49</v>
      </c>
      <c r="C145" s="273">
        <v>0.5</v>
      </c>
      <c r="D145" s="260">
        <v>23.7</v>
      </c>
      <c r="E145" s="322">
        <f t="shared" si="2"/>
        <v>47.4</v>
      </c>
    </row>
    <row r="146" spans="1:7" ht="13.2" customHeight="1" x14ac:dyDescent="0.25">
      <c r="A146" s="274" t="s">
        <v>424</v>
      </c>
      <c r="B146" s="297" t="s">
        <v>64</v>
      </c>
      <c r="C146" s="273">
        <v>6</v>
      </c>
      <c r="D146" s="260">
        <v>15</v>
      </c>
      <c r="E146" s="322">
        <f t="shared" si="2"/>
        <v>2.5</v>
      </c>
    </row>
    <row r="147" spans="1:7" x14ac:dyDescent="0.25">
      <c r="A147" s="274" t="s">
        <v>62</v>
      </c>
      <c r="B147" s="297" t="s">
        <v>50</v>
      </c>
      <c r="C147" s="273">
        <v>2</v>
      </c>
      <c r="D147" s="260">
        <v>26</v>
      </c>
      <c r="E147" s="322">
        <f t="shared" si="2"/>
        <v>13</v>
      </c>
    </row>
    <row r="148" spans="1:7" ht="13.8" thickBot="1" x14ac:dyDescent="0.3">
      <c r="A148" s="14" t="s">
        <v>5</v>
      </c>
      <c r="B148" s="15" t="s">
        <v>6</v>
      </c>
      <c r="C148" s="63">
        <f>E43</f>
        <v>2</v>
      </c>
      <c r="D148" s="16">
        <f>+SUM(E135:E147)</f>
        <v>161.06666666666666</v>
      </c>
      <c r="E148" s="16">
        <f t="shared" ref="E148" si="3">C148*D148</f>
        <v>322.13333333333333</v>
      </c>
    </row>
    <row r="149" spans="1:7" ht="13.8" thickBot="1" x14ac:dyDescent="0.3">
      <c r="D149" s="111" t="s">
        <v>166</v>
      </c>
      <c r="E149" s="262">
        <f>$B$51</f>
        <v>0.59090909090909094</v>
      </c>
      <c r="F149" s="112">
        <f>E148*E149</f>
        <v>190.35151515151514</v>
      </c>
    </row>
    <row r="150" spans="1:7" ht="11.25" customHeight="1" x14ac:dyDescent="0.25"/>
    <row r="151" spans="1:7" ht="13.95" customHeight="1" thickBot="1" x14ac:dyDescent="0.3">
      <c r="A151" s="7" t="s">
        <v>169</v>
      </c>
    </row>
    <row r="152" spans="1:7" ht="24.6" thickBot="1" x14ac:dyDescent="0.3">
      <c r="A152" s="54" t="s">
        <v>63</v>
      </c>
      <c r="B152" s="55" t="s">
        <v>64</v>
      </c>
      <c r="C152" s="230" t="s">
        <v>214</v>
      </c>
      <c r="D152" s="56" t="s">
        <v>199</v>
      </c>
      <c r="E152" s="56" t="s">
        <v>65</v>
      </c>
      <c r="F152" s="57" t="s">
        <v>66</v>
      </c>
    </row>
    <row r="153" spans="1:7" x14ac:dyDescent="0.25">
      <c r="A153" s="258" t="s">
        <v>67</v>
      </c>
      <c r="B153" s="424" t="s">
        <v>10</v>
      </c>
      <c r="C153" s="273">
        <f>C135</f>
        <v>12</v>
      </c>
      <c r="D153" s="322">
        <f>+D135</f>
        <v>170</v>
      </c>
      <c r="E153" s="322">
        <f>IFERROR(D153/C153,0)</f>
        <v>14.166666666666666</v>
      </c>
    </row>
    <row r="154" spans="1:7" x14ac:dyDescent="0.25">
      <c r="A154" s="274" t="s">
        <v>30</v>
      </c>
      <c r="B154" s="297" t="s">
        <v>10</v>
      </c>
      <c r="C154" s="273">
        <v>6</v>
      </c>
      <c r="D154" s="281">
        <f>+D136</f>
        <v>75</v>
      </c>
      <c r="E154" s="322">
        <f t="shared" ref="E154:E159" si="4">IFERROR(D154/C154,0)</f>
        <v>12.5</v>
      </c>
    </row>
    <row r="155" spans="1:7" x14ac:dyDescent="0.25">
      <c r="A155" s="274" t="s">
        <v>31</v>
      </c>
      <c r="B155" s="297" t="s">
        <v>10</v>
      </c>
      <c r="C155" s="273">
        <v>4</v>
      </c>
      <c r="D155" s="281">
        <f>D137</f>
        <v>45</v>
      </c>
      <c r="E155" s="322">
        <f t="shared" si="4"/>
        <v>11.25</v>
      </c>
    </row>
    <row r="156" spans="1:7" x14ac:dyDescent="0.25">
      <c r="A156" s="274" t="s">
        <v>425</v>
      </c>
      <c r="B156" s="297" t="s">
        <v>49</v>
      </c>
      <c r="C156" s="273">
        <v>12</v>
      </c>
      <c r="D156" s="281">
        <f>D141</f>
        <v>75</v>
      </c>
      <c r="E156" s="322">
        <f t="shared" si="4"/>
        <v>6.25</v>
      </c>
    </row>
    <row r="157" spans="1:7" x14ac:dyDescent="0.25">
      <c r="A157" s="274" t="s">
        <v>68</v>
      </c>
      <c r="B157" s="297" t="s">
        <v>10</v>
      </c>
      <c r="C157" s="273">
        <v>12</v>
      </c>
      <c r="D157" s="281">
        <f>D143</f>
        <v>55</v>
      </c>
      <c r="E157" s="322">
        <f t="shared" si="4"/>
        <v>4.583333333333333</v>
      </c>
      <c r="G157" s="7"/>
    </row>
    <row r="158" spans="1:7" x14ac:dyDescent="0.25">
      <c r="A158" s="274" t="s">
        <v>424</v>
      </c>
      <c r="B158" s="297" t="s">
        <v>64</v>
      </c>
      <c r="C158" s="273">
        <v>6</v>
      </c>
      <c r="D158" s="281">
        <f>D146</f>
        <v>15</v>
      </c>
      <c r="E158" s="322">
        <f t="shared" si="4"/>
        <v>2.5</v>
      </c>
      <c r="G158" s="7"/>
    </row>
    <row r="159" spans="1:7" x14ac:dyDescent="0.25">
      <c r="A159" s="274" t="s">
        <v>62</v>
      </c>
      <c r="B159" s="297" t="s">
        <v>50</v>
      </c>
      <c r="C159" s="273">
        <f>C146</f>
        <v>6</v>
      </c>
      <c r="D159" s="281">
        <f>D147</f>
        <v>26</v>
      </c>
      <c r="E159" s="322">
        <f t="shared" si="4"/>
        <v>4.333333333333333</v>
      </c>
      <c r="G159" s="7"/>
    </row>
    <row r="160" spans="1:7" ht="13.8" thickBot="1" x14ac:dyDescent="0.3">
      <c r="A160" s="14" t="s">
        <v>5</v>
      </c>
      <c r="B160" s="15" t="s">
        <v>6</v>
      </c>
      <c r="C160" s="63">
        <f>E44</f>
        <v>1</v>
      </c>
      <c r="D160" s="16">
        <f>+SUM(E153:E159)</f>
        <v>55.583333333333336</v>
      </c>
      <c r="E160" s="16">
        <f t="shared" ref="E160" si="5">C160*D160</f>
        <v>55.583333333333336</v>
      </c>
      <c r="G160" s="7"/>
    </row>
    <row r="161" spans="1:10" ht="13.8" thickBot="1" x14ac:dyDescent="0.3">
      <c r="D161" s="111" t="s">
        <v>166</v>
      </c>
      <c r="E161" s="262">
        <f>E80</f>
        <v>0.81818181818181823</v>
      </c>
      <c r="F161" s="112">
        <f>E160*E161</f>
        <v>45.477272727272734</v>
      </c>
      <c r="G161" s="7"/>
    </row>
    <row r="162" spans="1:10" ht="11.25" customHeight="1" thickBot="1" x14ac:dyDescent="0.3">
      <c r="G162" s="7"/>
    </row>
    <row r="163" spans="1:10" ht="13.8" thickBot="1" x14ac:dyDescent="0.3">
      <c r="A163" s="22" t="s">
        <v>170</v>
      </c>
      <c r="B163" s="26"/>
      <c r="C163" s="26"/>
      <c r="D163" s="27"/>
      <c r="E163" s="28"/>
      <c r="F163" s="19">
        <f>+F149+F161</f>
        <v>235.82878787878786</v>
      </c>
      <c r="G163" s="7"/>
    </row>
    <row r="164" spans="1:10" ht="11.25" customHeight="1" x14ac:dyDescent="0.25">
      <c r="G164" s="7"/>
    </row>
    <row r="165" spans="1:10" x14ac:dyDescent="0.25">
      <c r="A165" s="9" t="s">
        <v>55</v>
      </c>
      <c r="G165" s="7"/>
    </row>
    <row r="166" spans="1:10" x14ac:dyDescent="0.25">
      <c r="A166" s="5" t="s">
        <v>310</v>
      </c>
      <c r="G166" s="7"/>
      <c r="H166" s="77"/>
      <c r="I166" s="77"/>
    </row>
    <row r="167" spans="1:10" ht="13.8" thickBot="1" x14ac:dyDescent="0.3">
      <c r="A167" s="97" t="s">
        <v>47</v>
      </c>
      <c r="G167" s="7"/>
    </row>
    <row r="168" spans="1:10" ht="13.8" thickBot="1" x14ac:dyDescent="0.3">
      <c r="A168" s="54" t="s">
        <v>63</v>
      </c>
      <c r="B168" s="55" t="s">
        <v>64</v>
      </c>
      <c r="C168" s="55" t="s">
        <v>41</v>
      </c>
      <c r="D168" s="56" t="s">
        <v>199</v>
      </c>
      <c r="E168" s="56" t="s">
        <v>65</v>
      </c>
      <c r="F168" s="57" t="s">
        <v>66</v>
      </c>
      <c r="G168" s="7"/>
    </row>
    <row r="169" spans="1:10" x14ac:dyDescent="0.25">
      <c r="A169" s="11" t="s">
        <v>100</v>
      </c>
      <c r="B169" s="12" t="s">
        <v>10</v>
      </c>
      <c r="C169" s="12">
        <v>1</v>
      </c>
      <c r="D169" s="79">
        <v>400000</v>
      </c>
      <c r="E169" s="13">
        <f>C169*D169</f>
        <v>400000</v>
      </c>
      <c r="G169" s="7"/>
    </row>
    <row r="170" spans="1:10" x14ac:dyDescent="0.25">
      <c r="A170" s="14" t="s">
        <v>97</v>
      </c>
      <c r="B170" s="15" t="s">
        <v>98</v>
      </c>
      <c r="C170" s="78">
        <v>10</v>
      </c>
      <c r="D170" s="75"/>
      <c r="E170" s="16"/>
      <c r="G170" s="7"/>
    </row>
    <row r="171" spans="1:10" x14ac:dyDescent="0.25">
      <c r="A171" s="14" t="s">
        <v>177</v>
      </c>
      <c r="B171" s="15" t="s">
        <v>98</v>
      </c>
      <c r="C171" s="78">
        <v>0</v>
      </c>
      <c r="D171" s="16"/>
      <c r="E171" s="16"/>
      <c r="F171" s="18"/>
      <c r="I171" s="77"/>
      <c r="J171" s="77"/>
    </row>
    <row r="172" spans="1:10" x14ac:dyDescent="0.25">
      <c r="A172" s="14" t="s">
        <v>99</v>
      </c>
      <c r="B172" s="15" t="s">
        <v>2</v>
      </c>
      <c r="C172" s="127">
        <f>IFERROR(VLOOKUP(C170,'8. Depr'!A3:B17,2,FALSE),0)</f>
        <v>65.180000000000007</v>
      </c>
      <c r="D172" s="16">
        <f>E169</f>
        <v>400000</v>
      </c>
      <c r="E172" s="16">
        <f>C172*D172/100</f>
        <v>260720.00000000003</v>
      </c>
    </row>
    <row r="173" spans="1:10" ht="13.8" thickBot="1" x14ac:dyDescent="0.3">
      <c r="A173" s="237" t="s">
        <v>51</v>
      </c>
      <c r="B173" s="238" t="s">
        <v>8</v>
      </c>
      <c r="C173" s="238">
        <f>C170*12</f>
        <v>120</v>
      </c>
      <c r="D173" s="239">
        <f>IF(C171&lt;=C170,E172,0)</f>
        <v>260720.00000000003</v>
      </c>
      <c r="E173" s="239">
        <f>IFERROR(D173/C173,0)</f>
        <v>2172.666666666667</v>
      </c>
    </row>
    <row r="174" spans="1:10" ht="13.8" thickTop="1" x14ac:dyDescent="0.25">
      <c r="A174" s="258" t="s">
        <v>311</v>
      </c>
      <c r="B174" s="12" t="s">
        <v>10</v>
      </c>
      <c r="C174" s="12">
        <f>C169</f>
        <v>1</v>
      </c>
      <c r="D174" s="79">
        <v>160000</v>
      </c>
      <c r="E174" s="13">
        <f>C174*D174</f>
        <v>160000</v>
      </c>
      <c r="G174" s="7"/>
    </row>
    <row r="175" spans="1:10" x14ac:dyDescent="0.25">
      <c r="A175" s="274" t="s">
        <v>97</v>
      </c>
      <c r="B175" s="15" t="s">
        <v>98</v>
      </c>
      <c r="C175" s="78">
        <v>10</v>
      </c>
      <c r="D175" s="16"/>
      <c r="E175" s="16"/>
    </row>
    <row r="176" spans="1:10" x14ac:dyDescent="0.25">
      <c r="A176" s="274" t="s">
        <v>312</v>
      </c>
      <c r="B176" s="15" t="s">
        <v>98</v>
      </c>
      <c r="C176" s="78">
        <v>0</v>
      </c>
      <c r="D176" s="16"/>
      <c r="E176" s="16"/>
      <c r="F176" s="18"/>
      <c r="I176" s="77"/>
      <c r="J176" s="77"/>
    </row>
    <row r="177" spans="1:10" x14ac:dyDescent="0.25">
      <c r="A177" s="274" t="s">
        <v>99</v>
      </c>
      <c r="B177" s="15" t="s">
        <v>2</v>
      </c>
      <c r="C177" s="128">
        <f>IFERROR(VLOOKUP(C175,'8. Depr'!A3:B17,2,FALSE),0)</f>
        <v>65.180000000000007</v>
      </c>
      <c r="D177" s="16">
        <f>E174</f>
        <v>160000</v>
      </c>
      <c r="E177" s="16">
        <f>C177*D177/100</f>
        <v>104288.00000000001</v>
      </c>
    </row>
    <row r="178" spans="1:10" x14ac:dyDescent="0.25">
      <c r="A178" s="93" t="s">
        <v>313</v>
      </c>
      <c r="B178" s="94" t="s">
        <v>8</v>
      </c>
      <c r="C178" s="94">
        <f>C175*12</f>
        <v>120</v>
      </c>
      <c r="D178" s="95">
        <f>IF(C176&lt;=C175,E177,0)</f>
        <v>104288.00000000001</v>
      </c>
      <c r="E178" s="95">
        <f>IFERROR(D178/C178,0)</f>
        <v>869.06666666666683</v>
      </c>
    </row>
    <row r="179" spans="1:10" x14ac:dyDescent="0.25">
      <c r="A179" s="93" t="s">
        <v>334</v>
      </c>
      <c r="B179" s="94" t="s">
        <v>8</v>
      </c>
      <c r="C179" s="94">
        <v>1</v>
      </c>
      <c r="D179" s="95">
        <f>IF(C177&lt;=C176,E178,0)</f>
        <v>0</v>
      </c>
      <c r="E179" s="95">
        <f>(E173+E178)*0.1</f>
        <v>304.17333333333335</v>
      </c>
    </row>
    <row r="180" spans="1:10" x14ac:dyDescent="0.25">
      <c r="A180" s="106" t="s">
        <v>217</v>
      </c>
      <c r="B180" s="107"/>
      <c r="C180" s="107"/>
      <c r="D180" s="108"/>
      <c r="E180" s="109">
        <f>E173+E178+E179</f>
        <v>3345.9066666666668</v>
      </c>
    </row>
    <row r="181" spans="1:10" ht="13.8" thickBot="1" x14ac:dyDescent="0.3">
      <c r="A181" s="93" t="s">
        <v>218</v>
      </c>
      <c r="B181" s="94" t="s">
        <v>10</v>
      </c>
      <c r="C181" s="78">
        <v>1</v>
      </c>
      <c r="D181" s="95">
        <f>E180</f>
        <v>3345.9066666666668</v>
      </c>
      <c r="E181" s="109">
        <f>C181*D181</f>
        <v>3345.9066666666668</v>
      </c>
    </row>
    <row r="182" spans="1:10" ht="13.8" thickBot="1" x14ac:dyDescent="0.3">
      <c r="A182" s="235"/>
      <c r="B182" s="235"/>
      <c r="C182" s="235"/>
      <c r="D182" s="111" t="s">
        <v>166</v>
      </c>
      <c r="E182" s="262">
        <f>E122</f>
        <v>0.81818181818181823</v>
      </c>
      <c r="F182" s="19">
        <f>E181*E182</f>
        <v>2737.5600000000004</v>
      </c>
    </row>
    <row r="183" spans="1:10" ht="11.25" customHeight="1" x14ac:dyDescent="0.25"/>
    <row r="184" spans="1:10" ht="13.8" thickBot="1" x14ac:dyDescent="0.3">
      <c r="A184" s="97" t="s">
        <v>104</v>
      </c>
    </row>
    <row r="185" spans="1:10" ht="13.8" thickBot="1" x14ac:dyDescent="0.3">
      <c r="A185" s="99" t="s">
        <v>63</v>
      </c>
      <c r="B185" s="100" t="s">
        <v>64</v>
      </c>
      <c r="C185" s="100" t="s">
        <v>41</v>
      </c>
      <c r="D185" s="56" t="s">
        <v>199</v>
      </c>
      <c r="E185" s="101" t="s">
        <v>65</v>
      </c>
      <c r="F185" s="57" t="s">
        <v>66</v>
      </c>
      <c r="I185" s="77"/>
      <c r="J185" s="77"/>
    </row>
    <row r="186" spans="1:10" x14ac:dyDescent="0.25">
      <c r="A186" s="14" t="s">
        <v>103</v>
      </c>
      <c r="B186" s="15" t="s">
        <v>10</v>
      </c>
      <c r="C186" s="15">
        <v>1</v>
      </c>
      <c r="D186" s="16">
        <f>D169</f>
        <v>400000</v>
      </c>
      <c r="E186" s="16">
        <f>C186*D186</f>
        <v>400000</v>
      </c>
      <c r="F186" s="18"/>
      <c r="I186" s="77"/>
      <c r="J186" s="77"/>
    </row>
    <row r="187" spans="1:10" x14ac:dyDescent="0.25">
      <c r="A187" s="14" t="s">
        <v>180</v>
      </c>
      <c r="B187" s="15" t="s">
        <v>2</v>
      </c>
      <c r="C187" s="80">
        <v>14</v>
      </c>
      <c r="D187" s="16"/>
      <c r="E187" s="16"/>
      <c r="F187" s="18"/>
      <c r="I187" s="77"/>
      <c r="J187" s="77"/>
    </row>
    <row r="188" spans="1:10" x14ac:dyDescent="0.25">
      <c r="A188" s="14" t="s">
        <v>178</v>
      </c>
      <c r="B188" s="15" t="s">
        <v>34</v>
      </c>
      <c r="C188" s="133">
        <f>IFERROR(IF(C171&lt;=C170,E169-(C172/(100*C170)*C171)*E169,E169-E172),0)</f>
        <v>400000</v>
      </c>
      <c r="D188" s="16"/>
      <c r="E188" s="16"/>
      <c r="F188" s="18"/>
      <c r="I188" s="77"/>
      <c r="J188" s="77"/>
    </row>
    <row r="189" spans="1:10" x14ac:dyDescent="0.25">
      <c r="A189" s="14" t="s">
        <v>106</v>
      </c>
      <c r="B189" s="15" t="s">
        <v>34</v>
      </c>
      <c r="C189" s="75">
        <f>IFERROR(IF(C171&gt;=C170,C188,((((C188)-(E169-E172))*(((C170-C171)+1)/(2*(C170-C171))))+(E169-E172))),0)</f>
        <v>282676</v>
      </c>
      <c r="D189" s="16"/>
      <c r="E189" s="16"/>
      <c r="F189" s="18"/>
      <c r="I189" s="77"/>
      <c r="J189" s="77"/>
    </row>
    <row r="190" spans="1:10" ht="13.8" thickBot="1" x14ac:dyDescent="0.3">
      <c r="A190" s="237" t="s">
        <v>107</v>
      </c>
      <c r="B190" s="238" t="s">
        <v>34</v>
      </c>
      <c r="C190" s="238"/>
      <c r="D190" s="240">
        <f>C187*C189/12/100</f>
        <v>3297.8866666666668</v>
      </c>
      <c r="E190" s="239">
        <f>D190</f>
        <v>3297.8866666666668</v>
      </c>
      <c r="F190" s="18"/>
      <c r="I190" s="77"/>
      <c r="J190" s="77"/>
    </row>
    <row r="191" spans="1:10" ht="13.8" thickTop="1" x14ac:dyDescent="0.25">
      <c r="A191" s="258" t="s">
        <v>311</v>
      </c>
      <c r="B191" s="12" t="s">
        <v>10</v>
      </c>
      <c r="C191" s="12">
        <f>C174</f>
        <v>1</v>
      </c>
      <c r="D191" s="13">
        <f>D174</f>
        <v>160000</v>
      </c>
      <c r="E191" s="13">
        <f>C191*D191</f>
        <v>160000</v>
      </c>
      <c r="F191" s="18"/>
      <c r="I191" s="77"/>
      <c r="J191" s="77"/>
    </row>
    <row r="192" spans="1:10" x14ac:dyDescent="0.25">
      <c r="A192" s="274" t="s">
        <v>180</v>
      </c>
      <c r="B192" s="15" t="s">
        <v>2</v>
      </c>
      <c r="C192" s="428">
        <f>C187</f>
        <v>14</v>
      </c>
      <c r="D192" s="16"/>
      <c r="E192" s="16"/>
      <c r="F192" s="18"/>
      <c r="I192" s="77"/>
      <c r="J192" s="77"/>
    </row>
    <row r="193" spans="1:10" x14ac:dyDescent="0.25">
      <c r="A193" s="14" t="s">
        <v>179</v>
      </c>
      <c r="B193" s="15" t="s">
        <v>34</v>
      </c>
      <c r="C193" s="133">
        <f>IFERROR(IF(C176&lt;=C175,E174-(C177/(100*C175)*C176)*E174,E174-E177),0)</f>
        <v>160000</v>
      </c>
      <c r="D193" s="16"/>
      <c r="E193" s="16"/>
      <c r="F193" s="18"/>
      <c r="I193" s="77"/>
      <c r="J193" s="77"/>
    </row>
    <row r="194" spans="1:10" x14ac:dyDescent="0.25">
      <c r="A194" s="274" t="s">
        <v>331</v>
      </c>
      <c r="B194" s="15" t="s">
        <v>34</v>
      </c>
      <c r="C194" s="75">
        <f>IFERROR(IF(C176&gt;=C175,C193,((((C193)-(E174-E177))*(((C175-C176)+1)/(2*(C175-C176))))+(E174-E177))),0)</f>
        <v>113070.39999999999</v>
      </c>
      <c r="D194" s="16"/>
      <c r="E194" s="16"/>
      <c r="F194" s="18"/>
      <c r="I194" s="77"/>
      <c r="J194" s="77"/>
    </row>
    <row r="195" spans="1:10" x14ac:dyDescent="0.25">
      <c r="A195" s="93" t="s">
        <v>332</v>
      </c>
      <c r="B195" s="94" t="s">
        <v>34</v>
      </c>
      <c r="C195" s="94"/>
      <c r="D195" s="103">
        <f>C192*C194/12/100</f>
        <v>1319.1546666666663</v>
      </c>
      <c r="E195" s="95">
        <f>D195</f>
        <v>1319.1546666666663</v>
      </c>
      <c r="F195" s="18"/>
      <c r="I195" s="77"/>
      <c r="J195" s="77"/>
    </row>
    <row r="196" spans="1:10" x14ac:dyDescent="0.25">
      <c r="A196" s="93" t="s">
        <v>334</v>
      </c>
      <c r="B196" s="94" t="s">
        <v>8</v>
      </c>
      <c r="C196" s="94">
        <v>1</v>
      </c>
      <c r="D196" s="95"/>
      <c r="E196" s="95">
        <f>(E190+E195)*0.1</f>
        <v>461.70413333333329</v>
      </c>
      <c r="F196" s="18"/>
      <c r="I196" s="77"/>
      <c r="J196" s="77"/>
    </row>
    <row r="197" spans="1:10" x14ac:dyDescent="0.25">
      <c r="A197" s="106" t="s">
        <v>217</v>
      </c>
      <c r="B197" s="107"/>
      <c r="C197" s="107"/>
      <c r="D197" s="108"/>
      <c r="E197" s="109">
        <f>E190+E195+E196</f>
        <v>5078.7454666666663</v>
      </c>
      <c r="F197" s="18"/>
      <c r="G197" s="296"/>
      <c r="I197" s="77"/>
      <c r="J197" s="77"/>
    </row>
    <row r="198" spans="1:10" ht="13.8" thickBot="1" x14ac:dyDescent="0.3">
      <c r="A198" s="93" t="s">
        <v>218</v>
      </c>
      <c r="B198" s="94" t="s">
        <v>10</v>
      </c>
      <c r="C198" s="15">
        <f>C181</f>
        <v>1</v>
      </c>
      <c r="D198" s="95">
        <f>E197</f>
        <v>5078.7454666666663</v>
      </c>
      <c r="E198" s="109">
        <f>C198*D198</f>
        <v>5078.7454666666663</v>
      </c>
      <c r="F198" s="18"/>
      <c r="I198" s="77"/>
      <c r="J198" s="77"/>
    </row>
    <row r="199" spans="1:10" ht="13.8" thickBot="1" x14ac:dyDescent="0.3">
      <c r="C199" s="17"/>
      <c r="D199" s="111" t="s">
        <v>166</v>
      </c>
      <c r="E199" s="262">
        <f>E182</f>
        <v>0.81818181818181823</v>
      </c>
      <c r="F199" s="19">
        <f>E198*E199</f>
        <v>4155.3371999999999</v>
      </c>
      <c r="I199" s="77"/>
      <c r="J199" s="77"/>
    </row>
    <row r="200" spans="1:10" ht="11.25" customHeight="1" x14ac:dyDescent="0.25">
      <c r="I200" s="77"/>
      <c r="J200" s="77"/>
    </row>
    <row r="201" spans="1:10" ht="13.8" thickBot="1" x14ac:dyDescent="0.3">
      <c r="A201" s="7" t="s">
        <v>52</v>
      </c>
      <c r="I201" s="77"/>
      <c r="J201" s="77"/>
    </row>
    <row r="202" spans="1:10" ht="13.8" thickBot="1" x14ac:dyDescent="0.3">
      <c r="A202" s="54" t="s">
        <v>63</v>
      </c>
      <c r="B202" s="55" t="s">
        <v>64</v>
      </c>
      <c r="C202" s="55" t="s">
        <v>41</v>
      </c>
      <c r="D202" s="56" t="s">
        <v>199</v>
      </c>
      <c r="E202" s="56" t="s">
        <v>65</v>
      </c>
      <c r="F202" s="57" t="s">
        <v>66</v>
      </c>
      <c r="I202" s="77"/>
      <c r="J202" s="77"/>
    </row>
    <row r="203" spans="1:10" x14ac:dyDescent="0.25">
      <c r="A203" s="11" t="s">
        <v>12</v>
      </c>
      <c r="B203" s="12" t="s">
        <v>10</v>
      </c>
      <c r="C203" s="13">
        <f>C181</f>
        <v>1</v>
      </c>
      <c r="D203" s="13">
        <f>0.01*($C$188)</f>
        <v>4000</v>
      </c>
      <c r="E203" s="13">
        <f>C203*D203</f>
        <v>4000</v>
      </c>
      <c r="I203" s="77"/>
      <c r="J203" s="77"/>
    </row>
    <row r="204" spans="1:10" x14ac:dyDescent="0.25">
      <c r="A204" s="14" t="s">
        <v>165</v>
      </c>
      <c r="B204" s="15" t="s">
        <v>10</v>
      </c>
      <c r="C204" s="13">
        <f>C181</f>
        <v>1</v>
      </c>
      <c r="D204" s="81">
        <v>109.27</v>
      </c>
      <c r="E204" s="16">
        <f>C204*D204</f>
        <v>109.27</v>
      </c>
      <c r="I204" s="77"/>
      <c r="J204" s="77"/>
    </row>
    <row r="205" spans="1:10" x14ac:dyDescent="0.25">
      <c r="A205" s="14" t="s">
        <v>13</v>
      </c>
      <c r="B205" s="15" t="s">
        <v>10</v>
      </c>
      <c r="C205" s="13">
        <f>C181</f>
        <v>1</v>
      </c>
      <c r="D205" s="81">
        <v>3500</v>
      </c>
      <c r="E205" s="16">
        <f>C205*D205</f>
        <v>3500</v>
      </c>
      <c r="F205" s="29"/>
      <c r="I205" s="77"/>
      <c r="J205" s="77"/>
    </row>
    <row r="206" spans="1:10" ht="13.8" thickBot="1" x14ac:dyDescent="0.3">
      <c r="A206" s="93" t="s">
        <v>14</v>
      </c>
      <c r="B206" s="94" t="s">
        <v>8</v>
      </c>
      <c r="C206" s="94">
        <v>12</v>
      </c>
      <c r="D206" s="95">
        <f>SUM(E203:E205)</f>
        <v>7609.27</v>
      </c>
      <c r="E206" s="95">
        <f>D206/C206</f>
        <v>634.10583333333341</v>
      </c>
      <c r="I206" s="77"/>
      <c r="J206" s="77"/>
    </row>
    <row r="207" spans="1:10" ht="13.8" thickBot="1" x14ac:dyDescent="0.3">
      <c r="D207" s="111" t="s">
        <v>166</v>
      </c>
      <c r="E207" s="262">
        <f>E199</f>
        <v>0.81818181818181823</v>
      </c>
      <c r="F207" s="112">
        <f>E206*E207</f>
        <v>518.81386363636375</v>
      </c>
      <c r="I207" s="77"/>
      <c r="J207" s="77"/>
    </row>
    <row r="208" spans="1:10" ht="11.25" customHeight="1" x14ac:dyDescent="0.25">
      <c r="I208" s="77"/>
      <c r="J208" s="77"/>
    </row>
    <row r="209" spans="1:10" x14ac:dyDescent="0.25">
      <c r="A209" s="7" t="s">
        <v>53</v>
      </c>
      <c r="B209" s="30"/>
      <c r="I209" s="77"/>
      <c r="J209" s="77"/>
    </row>
    <row r="210" spans="1:10" ht="13.8" thickBot="1" x14ac:dyDescent="0.3">
      <c r="A210" s="93" t="s">
        <v>109</v>
      </c>
      <c r="B210" s="279">
        <f>'7. Roteiros'!AC12+'7. Roteiros'!AC21</f>
        <v>2718.3315857142861</v>
      </c>
      <c r="I210" s="77"/>
      <c r="J210" s="77"/>
    </row>
    <row r="211" spans="1:10" ht="13.8" thickBot="1" x14ac:dyDescent="0.3">
      <c r="A211" s="54" t="s">
        <v>63</v>
      </c>
      <c r="B211" s="55" t="s">
        <v>64</v>
      </c>
      <c r="C211" s="55" t="s">
        <v>216</v>
      </c>
      <c r="D211" s="56" t="s">
        <v>199</v>
      </c>
      <c r="E211" s="56" t="s">
        <v>65</v>
      </c>
      <c r="F211" s="57" t="s">
        <v>66</v>
      </c>
      <c r="I211" s="77"/>
      <c r="J211" s="77"/>
    </row>
    <row r="212" spans="1:10" x14ac:dyDescent="0.25">
      <c r="A212" s="11" t="s">
        <v>15</v>
      </c>
      <c r="B212" s="12" t="s">
        <v>16</v>
      </c>
      <c r="C212" s="88">
        <v>2.2000000000000002</v>
      </c>
      <c r="D212" s="79">
        <v>7</v>
      </c>
      <c r="E212" s="13"/>
      <c r="I212" s="77"/>
      <c r="J212" s="77"/>
    </row>
    <row r="213" spans="1:10" x14ac:dyDescent="0.25">
      <c r="A213" s="14" t="s">
        <v>17</v>
      </c>
      <c r="B213" s="15" t="s">
        <v>18</v>
      </c>
      <c r="C213" s="86">
        <f>B210</f>
        <v>2718.3315857142861</v>
      </c>
      <c r="D213" s="234">
        <f>IFERROR(+D212/C212,"-")</f>
        <v>3.1818181818181817</v>
      </c>
      <c r="E213" s="16">
        <f>IFERROR(C213*D213,"-")</f>
        <v>8649.2368636363644</v>
      </c>
      <c r="I213" s="77"/>
      <c r="J213" s="77"/>
    </row>
    <row r="214" spans="1:10" x14ac:dyDescent="0.25">
      <c r="A214" s="14" t="s">
        <v>200</v>
      </c>
      <c r="B214" s="15" t="s">
        <v>19</v>
      </c>
      <c r="C214" s="90">
        <v>1.33</v>
      </c>
      <c r="D214" s="81">
        <v>30</v>
      </c>
      <c r="E214" s="16"/>
      <c r="G214" s="102"/>
      <c r="I214" s="77"/>
      <c r="J214" s="77"/>
    </row>
    <row r="215" spans="1:10" x14ac:dyDescent="0.25">
      <c r="A215" s="14" t="s">
        <v>20</v>
      </c>
      <c r="B215" s="15" t="s">
        <v>18</v>
      </c>
      <c r="C215" s="86">
        <f>C213</f>
        <v>2718.3315857142861</v>
      </c>
      <c r="D215" s="231">
        <f>+C214*D214/1000</f>
        <v>3.9900000000000005E-2</v>
      </c>
      <c r="E215" s="16">
        <f>C215*D215</f>
        <v>108.46143027000004</v>
      </c>
      <c r="G215" s="102"/>
      <c r="I215" s="77"/>
      <c r="J215" s="77"/>
    </row>
    <row r="216" spans="1:10" x14ac:dyDescent="0.25">
      <c r="A216" s="14" t="s">
        <v>201</v>
      </c>
      <c r="B216" s="15" t="s">
        <v>19</v>
      </c>
      <c r="C216" s="90">
        <v>0.18</v>
      </c>
      <c r="D216" s="81">
        <v>28</v>
      </c>
      <c r="E216" s="16"/>
      <c r="G216" s="102"/>
      <c r="I216" s="77"/>
      <c r="J216" s="77"/>
    </row>
    <row r="217" spans="1:10" x14ac:dyDescent="0.25">
      <c r="A217" s="14" t="s">
        <v>21</v>
      </c>
      <c r="B217" s="15" t="s">
        <v>18</v>
      </c>
      <c r="C217" s="86">
        <f>C213</f>
        <v>2718.3315857142861</v>
      </c>
      <c r="D217" s="231">
        <f>+C216*D216/1000</f>
        <v>5.0400000000000002E-3</v>
      </c>
      <c r="E217" s="16">
        <f>C217*D217</f>
        <v>13.700391192000003</v>
      </c>
      <c r="G217" s="102"/>
      <c r="I217" s="77"/>
      <c r="J217" s="77"/>
    </row>
    <row r="218" spans="1:10" x14ac:dyDescent="0.25">
      <c r="A218" s="14" t="s">
        <v>202</v>
      </c>
      <c r="B218" s="15" t="s">
        <v>19</v>
      </c>
      <c r="C218" s="90">
        <v>2</v>
      </c>
      <c r="D218" s="81">
        <v>26</v>
      </c>
      <c r="E218" s="16"/>
      <c r="G218" s="102"/>
      <c r="I218" s="77"/>
      <c r="J218" s="77"/>
    </row>
    <row r="219" spans="1:10" x14ac:dyDescent="0.25">
      <c r="A219" s="14" t="s">
        <v>22</v>
      </c>
      <c r="B219" s="15" t="s">
        <v>18</v>
      </c>
      <c r="C219" s="86">
        <f>C213</f>
        <v>2718.3315857142861</v>
      </c>
      <c r="D219" s="231">
        <f>+C218*D218/1000</f>
        <v>5.1999999999999998E-2</v>
      </c>
      <c r="E219" s="16">
        <f>C219*D219</f>
        <v>141.35324245714287</v>
      </c>
      <c r="G219" s="102"/>
      <c r="I219" s="77"/>
      <c r="J219" s="77"/>
    </row>
    <row r="220" spans="1:10" x14ac:dyDescent="0.25">
      <c r="A220" s="274" t="s">
        <v>330</v>
      </c>
      <c r="B220" s="297" t="s">
        <v>19</v>
      </c>
      <c r="C220" s="304">
        <v>20</v>
      </c>
      <c r="D220" s="284">
        <v>3.8</v>
      </c>
      <c r="E220" s="281"/>
      <c r="G220" s="102"/>
      <c r="I220" s="77"/>
      <c r="J220" s="77"/>
    </row>
    <row r="221" spans="1:10" x14ac:dyDescent="0.25">
      <c r="A221" s="274" t="s">
        <v>329</v>
      </c>
      <c r="B221" s="297" t="s">
        <v>18</v>
      </c>
      <c r="C221" s="283">
        <f>C215</f>
        <v>2718.3315857142861</v>
      </c>
      <c r="D221" s="285">
        <f>+C220*D220/1000</f>
        <v>7.5999999999999998E-2</v>
      </c>
      <c r="E221" s="281">
        <f>C221*D221</f>
        <v>206.59320051428574</v>
      </c>
      <c r="G221" s="102"/>
      <c r="I221" s="77"/>
      <c r="J221" s="77"/>
    </row>
    <row r="222" spans="1:10" x14ac:dyDescent="0.25">
      <c r="A222" s="14" t="s">
        <v>23</v>
      </c>
      <c r="B222" s="15" t="s">
        <v>24</v>
      </c>
      <c r="C222" s="90">
        <v>1</v>
      </c>
      <c r="D222" s="81">
        <v>28</v>
      </c>
      <c r="E222" s="16"/>
      <c r="G222" s="102"/>
      <c r="I222" s="77"/>
      <c r="J222" s="77"/>
    </row>
    <row r="223" spans="1:10" x14ac:dyDescent="0.25">
      <c r="A223" s="14" t="s">
        <v>25</v>
      </c>
      <c r="B223" s="15" t="s">
        <v>18</v>
      </c>
      <c r="C223" s="86">
        <f>C213</f>
        <v>2718.3315857142861</v>
      </c>
      <c r="D223" s="231">
        <f>+C222*D222/1000</f>
        <v>2.8000000000000001E-2</v>
      </c>
      <c r="E223" s="16">
        <f>C223*D223</f>
        <v>76.113284400000012</v>
      </c>
      <c r="G223" s="102"/>
      <c r="I223" s="77"/>
      <c r="J223" s="77"/>
    </row>
    <row r="224" spans="1:10" ht="13.8" thickBot="1" x14ac:dyDescent="0.3">
      <c r="A224" s="93" t="s">
        <v>215</v>
      </c>
      <c r="B224" s="94" t="s">
        <v>110</v>
      </c>
      <c r="C224" s="232"/>
      <c r="D224" s="233">
        <f>IFERROR(D213+D215+D217+D219+D223,0)</f>
        <v>3.3067581818181817</v>
      </c>
      <c r="E224" s="16"/>
      <c r="G224" s="102"/>
      <c r="I224" s="77"/>
      <c r="J224" s="77"/>
    </row>
    <row r="225" spans="1:10" ht="13.8" thickBot="1" x14ac:dyDescent="0.3">
      <c r="F225" s="19">
        <f>SUM(E212:E223)</f>
        <v>9195.4584124697922</v>
      </c>
      <c r="I225" s="77"/>
      <c r="J225" s="77"/>
    </row>
    <row r="226" spans="1:10" ht="11.25" customHeight="1" x14ac:dyDescent="0.25">
      <c r="I226" s="77"/>
      <c r="J226" s="77"/>
    </row>
    <row r="227" spans="1:10" ht="13.8" thickBot="1" x14ac:dyDescent="0.3">
      <c r="A227" s="7" t="s">
        <v>54</v>
      </c>
      <c r="I227" s="77"/>
      <c r="J227" s="77"/>
    </row>
    <row r="228" spans="1:10" ht="13.8" thickBot="1" x14ac:dyDescent="0.3">
      <c r="A228" s="54" t="s">
        <v>63</v>
      </c>
      <c r="B228" s="55" t="s">
        <v>64</v>
      </c>
      <c r="C228" s="55" t="s">
        <v>41</v>
      </c>
      <c r="D228" s="56" t="s">
        <v>199</v>
      </c>
      <c r="E228" s="56" t="s">
        <v>65</v>
      </c>
      <c r="F228" s="57" t="s">
        <v>66</v>
      </c>
      <c r="I228" s="77"/>
      <c r="J228" s="77"/>
    </row>
    <row r="229" spans="1:10" ht="13.8" thickBot="1" x14ac:dyDescent="0.3">
      <c r="A229" s="11" t="s">
        <v>108</v>
      </c>
      <c r="B229" s="12" t="s">
        <v>110</v>
      </c>
      <c r="C229" s="16">
        <f>C213</f>
        <v>2718.3315857142861</v>
      </c>
      <c r="D229" s="79">
        <v>1.1399999999999999</v>
      </c>
      <c r="E229" s="13">
        <f>C229*D229</f>
        <v>3098.898007714286</v>
      </c>
      <c r="I229" s="77"/>
      <c r="J229" s="77"/>
    </row>
    <row r="230" spans="1:10" ht="13.8" thickBot="1" x14ac:dyDescent="0.3">
      <c r="F230" s="19">
        <f>E229</f>
        <v>3098.898007714286</v>
      </c>
      <c r="I230" s="77"/>
      <c r="J230" s="77"/>
    </row>
    <row r="231" spans="1:10" ht="11.25" customHeight="1" x14ac:dyDescent="0.25">
      <c r="I231" s="77"/>
      <c r="J231" s="77"/>
    </row>
    <row r="232" spans="1:10" ht="13.8" thickBot="1" x14ac:dyDescent="0.3">
      <c r="A232" s="7" t="s">
        <v>61</v>
      </c>
      <c r="I232" s="77"/>
      <c r="J232" s="77"/>
    </row>
    <row r="233" spans="1:10" ht="13.8" thickBot="1" x14ac:dyDescent="0.3">
      <c r="A233" s="54" t="s">
        <v>63</v>
      </c>
      <c r="B233" s="55" t="s">
        <v>64</v>
      </c>
      <c r="C233" s="55" t="s">
        <v>41</v>
      </c>
      <c r="D233" s="56" t="s">
        <v>199</v>
      </c>
      <c r="E233" s="56" t="s">
        <v>65</v>
      </c>
      <c r="F233" s="57" t="s">
        <v>66</v>
      </c>
      <c r="I233" s="77"/>
      <c r="J233" s="77"/>
    </row>
    <row r="234" spans="1:10" x14ac:dyDescent="0.25">
      <c r="A234" s="258" t="s">
        <v>328</v>
      </c>
      <c r="B234" s="12" t="s">
        <v>10</v>
      </c>
      <c r="C234" s="87">
        <v>6</v>
      </c>
      <c r="D234" s="79">
        <v>2800</v>
      </c>
      <c r="E234" s="13">
        <f>C234*D234</f>
        <v>16800</v>
      </c>
      <c r="I234" s="77"/>
      <c r="J234" s="77"/>
    </row>
    <row r="235" spans="1:10" x14ac:dyDescent="0.25">
      <c r="A235" s="11" t="s">
        <v>111</v>
      </c>
      <c r="B235" s="12" t="s">
        <v>10</v>
      </c>
      <c r="C235" s="87">
        <v>2</v>
      </c>
      <c r="D235" s="96"/>
      <c r="E235" s="13"/>
      <c r="I235" s="77"/>
      <c r="J235" s="77"/>
    </row>
    <row r="236" spans="1:10" x14ac:dyDescent="0.25">
      <c r="A236" s="11" t="s">
        <v>70</v>
      </c>
      <c r="B236" s="12" t="s">
        <v>10</v>
      </c>
      <c r="C236" s="13">
        <f>C234*C235</f>
        <v>12</v>
      </c>
      <c r="D236" s="79">
        <v>750</v>
      </c>
      <c r="E236" s="13">
        <f>C236*D236</f>
        <v>9000</v>
      </c>
      <c r="I236" s="77"/>
      <c r="J236" s="77"/>
    </row>
    <row r="237" spans="1:10" x14ac:dyDescent="0.25">
      <c r="A237" s="14" t="s">
        <v>92</v>
      </c>
      <c r="B237" s="15" t="s">
        <v>26</v>
      </c>
      <c r="C237" s="89">
        <v>80000</v>
      </c>
      <c r="D237" s="16">
        <f>E234+E236</f>
        <v>25800</v>
      </c>
      <c r="E237" s="16">
        <f>IFERROR(D237/C237,"-")</f>
        <v>0.32250000000000001</v>
      </c>
      <c r="I237" s="77"/>
      <c r="J237" s="77"/>
    </row>
    <row r="238" spans="1:10" ht="13.8" thickBot="1" x14ac:dyDescent="0.3">
      <c r="A238" s="14" t="s">
        <v>56</v>
      </c>
      <c r="B238" s="15" t="s">
        <v>18</v>
      </c>
      <c r="C238" s="86">
        <f>B210</f>
        <v>2718.3315857142861</v>
      </c>
      <c r="D238" s="16">
        <f>E237</f>
        <v>0.32250000000000001</v>
      </c>
      <c r="E238" s="16">
        <f>IFERROR(C238*D238,0)</f>
        <v>876.66193639285734</v>
      </c>
      <c r="I238" s="77"/>
      <c r="J238" s="77"/>
    </row>
    <row r="239" spans="1:10" ht="13.8" thickBot="1" x14ac:dyDescent="0.3">
      <c r="F239" s="19">
        <f>E238</f>
        <v>876.66193639285734</v>
      </c>
      <c r="I239" s="77"/>
      <c r="J239" s="77"/>
    </row>
    <row r="240" spans="1:10" ht="11.25" customHeight="1" x14ac:dyDescent="0.25">
      <c r="I240" s="77"/>
      <c r="J240" s="77"/>
    </row>
    <row r="241" spans="1:7" ht="11.25" customHeight="1" thickBot="1" x14ac:dyDescent="0.3">
      <c r="G241" s="7"/>
    </row>
    <row r="242" spans="1:7" ht="13.8" thickBot="1" x14ac:dyDescent="0.3">
      <c r="A242" s="22" t="s">
        <v>192</v>
      </c>
      <c r="B242" s="23"/>
      <c r="C242" s="23"/>
      <c r="D242" s="24"/>
      <c r="E242" s="25"/>
      <c r="F242" s="19">
        <f>+SUM(F169:F241)</f>
        <v>20582.729420213302</v>
      </c>
      <c r="G242" s="7"/>
    </row>
    <row r="243" spans="1:7" ht="11.25" customHeight="1" x14ac:dyDescent="0.25">
      <c r="G243" s="7"/>
    </row>
    <row r="244" spans="1:7" x14ac:dyDescent="0.25">
      <c r="A244" s="9" t="s">
        <v>343</v>
      </c>
      <c r="B244" s="9"/>
      <c r="C244" s="9"/>
      <c r="D244" s="32"/>
      <c r="E244" s="32"/>
      <c r="F244" s="31"/>
      <c r="G244" s="7"/>
    </row>
    <row r="245" spans="1:7" ht="11.25" customHeight="1" thickBot="1" x14ac:dyDescent="0.3">
      <c r="G245" s="7"/>
    </row>
    <row r="246" spans="1:7" ht="13.8" thickBot="1" x14ac:dyDescent="0.3">
      <c r="A246" s="54" t="s">
        <v>63</v>
      </c>
      <c r="B246" s="55" t="s">
        <v>64</v>
      </c>
      <c r="C246" s="55" t="s">
        <v>41</v>
      </c>
      <c r="D246" s="56" t="s">
        <v>199</v>
      </c>
      <c r="E246" s="56" t="s">
        <v>65</v>
      </c>
      <c r="F246" s="57" t="s">
        <v>66</v>
      </c>
      <c r="G246" s="7"/>
    </row>
    <row r="247" spans="1:7" x14ac:dyDescent="0.25">
      <c r="A247" s="14" t="s">
        <v>71</v>
      </c>
      <c r="B247" s="15" t="s">
        <v>10</v>
      </c>
      <c r="C247" s="91">
        <v>0.16666666666666666</v>
      </c>
      <c r="D247" s="79">
        <v>45</v>
      </c>
      <c r="E247" s="16">
        <f t="shared" ref="E247:E249" si="6">C247*D247</f>
        <v>7.5</v>
      </c>
      <c r="F247" s="49"/>
      <c r="G247" s="7"/>
    </row>
    <row r="248" spans="1:7" x14ac:dyDescent="0.25">
      <c r="A248" s="14" t="s">
        <v>28</v>
      </c>
      <c r="B248" s="15" t="s">
        <v>10</v>
      </c>
      <c r="C248" s="91">
        <v>0.16666666666666666</v>
      </c>
      <c r="D248" s="79">
        <v>30</v>
      </c>
      <c r="E248" s="16">
        <f t="shared" si="6"/>
        <v>5</v>
      </c>
      <c r="F248" s="49"/>
      <c r="G248" s="7"/>
    </row>
    <row r="249" spans="1:7" ht="13.8" thickBot="1" x14ac:dyDescent="0.3">
      <c r="A249" s="14" t="s">
        <v>29</v>
      </c>
      <c r="B249" s="15" t="s">
        <v>10</v>
      </c>
      <c r="C249" s="91">
        <v>0.16666666666666666</v>
      </c>
      <c r="D249" s="79">
        <v>64</v>
      </c>
      <c r="E249" s="16">
        <f t="shared" si="6"/>
        <v>10.666666666666666</v>
      </c>
      <c r="F249" s="49"/>
      <c r="G249" s="7"/>
    </row>
    <row r="250" spans="1:7" ht="13.8" thickBot="1" x14ac:dyDescent="0.3">
      <c r="A250" s="9"/>
      <c r="B250" s="9"/>
      <c r="C250" s="9"/>
      <c r="D250" s="9"/>
      <c r="E250" s="32"/>
      <c r="F250" s="19">
        <f>SUM(E247:E249)</f>
        <v>23.166666666666664</v>
      </c>
      <c r="G250" s="7"/>
    </row>
    <row r="251" spans="1:7" ht="11.25" customHeight="1" thickBot="1" x14ac:dyDescent="0.3">
      <c r="G251" s="7"/>
    </row>
    <row r="252" spans="1:7" ht="13.8" thickBot="1" x14ac:dyDescent="0.3">
      <c r="A252" s="22" t="s">
        <v>193</v>
      </c>
      <c r="B252" s="23"/>
      <c r="C252" s="23"/>
      <c r="D252" s="24"/>
      <c r="E252" s="25"/>
      <c r="F252" s="19">
        <f>+F250</f>
        <v>23.166666666666664</v>
      </c>
      <c r="G252" s="7"/>
    </row>
    <row r="253" spans="1:7" ht="11.25" customHeight="1" x14ac:dyDescent="0.25">
      <c r="G253" s="7"/>
    </row>
    <row r="254" spans="1:7" ht="13.2" customHeight="1" x14ac:dyDescent="0.25">
      <c r="A254" s="9" t="s">
        <v>340</v>
      </c>
      <c r="B254" s="9"/>
      <c r="C254" s="9"/>
      <c r="D254" s="32"/>
      <c r="E254" s="32"/>
      <c r="F254" s="31"/>
      <c r="G254" s="7"/>
    </row>
    <row r="255" spans="1:7" ht="11.25" customHeight="1" thickBot="1" x14ac:dyDescent="0.3">
      <c r="G255" s="7"/>
    </row>
    <row r="256" spans="1:7" ht="13.95" customHeight="1" thickBot="1" x14ac:dyDescent="0.3">
      <c r="A256" s="54" t="s">
        <v>63</v>
      </c>
      <c r="B256" s="55" t="s">
        <v>64</v>
      </c>
      <c r="C256" s="55" t="s">
        <v>41</v>
      </c>
      <c r="D256" s="56" t="s">
        <v>199</v>
      </c>
      <c r="E256" s="56" t="s">
        <v>65</v>
      </c>
      <c r="F256" s="57" t="s">
        <v>66</v>
      </c>
      <c r="G256" s="7"/>
    </row>
    <row r="257" spans="1:7" ht="13.95" customHeight="1" x14ac:dyDescent="0.25">
      <c r="A257" s="274" t="s">
        <v>316</v>
      </c>
      <c r="B257" s="297" t="s">
        <v>10</v>
      </c>
      <c r="C257" s="91">
        <v>8.3333333333333329E-2</v>
      </c>
      <c r="D257" s="79">
        <v>500</v>
      </c>
      <c r="E257" s="16">
        <f t="shared" ref="E257" si="7">C257*D257</f>
        <v>41.666666666666664</v>
      </c>
      <c r="F257" s="49"/>
      <c r="G257" s="7"/>
    </row>
    <row r="258" spans="1:7" ht="13.95" customHeight="1" thickBot="1" x14ac:dyDescent="0.3">
      <c r="A258" s="274" t="s">
        <v>428</v>
      </c>
      <c r="B258" s="48" t="s">
        <v>307</v>
      </c>
      <c r="C258" s="15">
        <v>160</v>
      </c>
      <c r="D258" s="81">
        <v>2.4</v>
      </c>
      <c r="E258" s="16">
        <f t="shared" ref="E258" si="8">+D258*C258</f>
        <v>384</v>
      </c>
      <c r="F258" s="49"/>
      <c r="G258" s="7"/>
    </row>
    <row r="259" spans="1:7" ht="13.95" customHeight="1" thickBot="1" x14ac:dyDescent="0.3">
      <c r="A259" s="10"/>
      <c r="B259" s="10"/>
      <c r="C259" s="10"/>
      <c r="D259" s="111" t="s">
        <v>166</v>
      </c>
      <c r="E259" s="262">
        <v>1</v>
      </c>
      <c r="F259" s="19">
        <f>SUM(E257:E258)</f>
        <v>425.66666666666669</v>
      </c>
      <c r="G259" s="7"/>
    </row>
    <row r="260" spans="1:7" ht="11.25" customHeight="1" x14ac:dyDescent="0.25">
      <c r="G260" s="7"/>
    </row>
    <row r="261" spans="1:7" x14ac:dyDescent="0.25">
      <c r="A261" s="9" t="s">
        <v>341</v>
      </c>
      <c r="B261" s="9"/>
      <c r="C261" s="9"/>
      <c r="D261" s="32"/>
      <c r="E261" s="32"/>
      <c r="F261" s="31"/>
    </row>
    <row r="262" spans="1:7" ht="11.25" customHeight="1" thickBot="1" x14ac:dyDescent="0.3"/>
    <row r="263" spans="1:7" ht="13.8" thickBot="1" x14ac:dyDescent="0.3">
      <c r="A263" s="54" t="s">
        <v>63</v>
      </c>
      <c r="B263" s="55" t="s">
        <v>64</v>
      </c>
      <c r="C263" s="55" t="s">
        <v>41</v>
      </c>
      <c r="D263" s="56" t="s">
        <v>199</v>
      </c>
      <c r="E263" s="56" t="s">
        <v>65</v>
      </c>
      <c r="F263" s="57" t="s">
        <v>66</v>
      </c>
    </row>
    <row r="264" spans="1:7" x14ac:dyDescent="0.25">
      <c r="A264" s="274" t="s">
        <v>190</v>
      </c>
      <c r="B264" s="48" t="s">
        <v>58</v>
      </c>
      <c r="C264" s="63">
        <v>1</v>
      </c>
      <c r="D264" s="81">
        <v>600</v>
      </c>
      <c r="E264" s="16">
        <f>+D264*C264</f>
        <v>600</v>
      </c>
      <c r="F264" s="49"/>
    </row>
    <row r="265" spans="1:7" x14ac:dyDescent="0.25">
      <c r="A265" s="14" t="s">
        <v>60</v>
      </c>
      <c r="B265" s="48" t="s">
        <v>8</v>
      </c>
      <c r="C265" s="15">
        <v>60</v>
      </c>
      <c r="D265" s="74">
        <f>SUM(E264:E264)</f>
        <v>600</v>
      </c>
      <c r="E265" s="74">
        <f>+D265/C265</f>
        <v>10</v>
      </c>
      <c r="F265" s="49"/>
    </row>
    <row r="266" spans="1:7" x14ac:dyDescent="0.25">
      <c r="A266" s="14" t="s">
        <v>191</v>
      </c>
      <c r="B266" s="15" t="s">
        <v>10</v>
      </c>
      <c r="C266" s="63">
        <f>+C264</f>
        <v>1</v>
      </c>
      <c r="D266" s="81">
        <v>130</v>
      </c>
      <c r="E266" s="16">
        <f>C266*D266</f>
        <v>130</v>
      </c>
      <c r="F266" s="49"/>
    </row>
    <row r="267" spans="1:7" ht="13.8" thickBot="1" x14ac:dyDescent="0.3">
      <c r="A267" s="14" t="s">
        <v>38</v>
      </c>
      <c r="B267" s="48" t="s">
        <v>8</v>
      </c>
      <c r="C267" s="15">
        <v>1</v>
      </c>
      <c r="D267" s="74">
        <f>+E266</f>
        <v>130</v>
      </c>
      <c r="E267" s="74">
        <f>+D267/C267</f>
        <v>130</v>
      </c>
      <c r="F267" s="49"/>
    </row>
    <row r="268" spans="1:7" ht="13.8" thickBot="1" x14ac:dyDescent="0.3">
      <c r="A268" s="10"/>
      <c r="B268" s="10"/>
      <c r="C268" s="10"/>
      <c r="D268" s="111" t="s">
        <v>166</v>
      </c>
      <c r="E268" s="262">
        <f>E207</f>
        <v>0.81818181818181823</v>
      </c>
      <c r="F268" s="19">
        <f>(E265+E267)*E268</f>
        <v>114.54545454545455</v>
      </c>
    </row>
    <row r="269" spans="1:7" s="47" customFormat="1" ht="11.25" customHeight="1" thickBot="1" x14ac:dyDescent="0.3">
      <c r="A269" s="7"/>
      <c r="B269" s="7"/>
      <c r="C269" s="7"/>
      <c r="D269" s="8"/>
      <c r="E269" s="8"/>
      <c r="F269" s="8"/>
      <c r="G269" s="76"/>
    </row>
    <row r="270" spans="1:7" ht="13.8" thickBot="1" x14ac:dyDescent="0.3">
      <c r="A270" s="22" t="s">
        <v>189</v>
      </c>
      <c r="B270" s="23"/>
      <c r="C270" s="23"/>
      <c r="D270" s="24"/>
      <c r="E270" s="25"/>
      <c r="F270" s="19">
        <f>+F268</f>
        <v>114.54545454545455</v>
      </c>
    </row>
    <row r="271" spans="1:7" ht="11.25" customHeight="1" thickBot="1" x14ac:dyDescent="0.3"/>
    <row r="272" spans="1:7" ht="17.25" customHeight="1" thickBot="1" x14ac:dyDescent="0.3">
      <c r="A272" s="22" t="s">
        <v>194</v>
      </c>
      <c r="B272" s="26"/>
      <c r="C272" s="26"/>
      <c r="D272" s="27"/>
      <c r="E272" s="28"/>
      <c r="F272" s="20">
        <f>+F130+F163+F242+F252+F270+F259</f>
        <v>33339.455345656555</v>
      </c>
    </row>
    <row r="273" spans="1:7" ht="11.25" customHeight="1" x14ac:dyDescent="0.25"/>
    <row r="274" spans="1:7" x14ac:dyDescent="0.25">
      <c r="A274" s="9" t="s">
        <v>342</v>
      </c>
    </row>
    <row r="275" spans="1:7" ht="11.25" customHeight="1" thickBot="1" x14ac:dyDescent="0.3"/>
    <row r="276" spans="1:7" ht="13.8" thickBot="1" x14ac:dyDescent="0.3">
      <c r="A276" s="54" t="s">
        <v>63</v>
      </c>
      <c r="B276" s="55" t="s">
        <v>64</v>
      </c>
      <c r="C276" s="55" t="s">
        <v>41</v>
      </c>
      <c r="D276" s="56" t="s">
        <v>199</v>
      </c>
      <c r="E276" s="56" t="s">
        <v>65</v>
      </c>
      <c r="F276" s="57" t="s">
        <v>66</v>
      </c>
    </row>
    <row r="277" spans="1:7" ht="13.8" thickBot="1" x14ac:dyDescent="0.3">
      <c r="A277" s="11" t="s">
        <v>37</v>
      </c>
      <c r="B277" s="12" t="s">
        <v>2</v>
      </c>
      <c r="C277" s="127">
        <f>'4.BDI'!C21*100</f>
        <v>27.36</v>
      </c>
      <c r="D277" s="13">
        <f>+F272</f>
        <v>33339.455345656555</v>
      </c>
      <c r="E277" s="13">
        <f>C277*D277/100</f>
        <v>9121.6749825716324</v>
      </c>
    </row>
    <row r="278" spans="1:7" ht="13.8" thickBot="1" x14ac:dyDescent="0.3">
      <c r="F278" s="19">
        <f>+E277</f>
        <v>9121.6749825716324</v>
      </c>
    </row>
    <row r="279" spans="1:7" ht="11.25" customHeight="1" thickBot="1" x14ac:dyDescent="0.3"/>
    <row r="280" spans="1:7" ht="13.8" thickBot="1" x14ac:dyDescent="0.3">
      <c r="A280" s="22" t="s">
        <v>204</v>
      </c>
      <c r="B280" s="26"/>
      <c r="C280" s="26"/>
      <c r="D280" s="27"/>
      <c r="E280" s="28"/>
      <c r="F280" s="20">
        <f>F278</f>
        <v>9121.6749825716324</v>
      </c>
    </row>
    <row r="281" spans="1:7" x14ac:dyDescent="0.25">
      <c r="A281" s="9"/>
      <c r="B281" s="9"/>
      <c r="C281" s="9"/>
      <c r="D281" s="32"/>
      <c r="E281" s="32"/>
      <c r="F281" s="31"/>
    </row>
    <row r="282" spans="1:7" ht="11.25" customHeight="1" thickBot="1" x14ac:dyDescent="0.3"/>
    <row r="283" spans="1:7" ht="24.75" customHeight="1" thickBot="1" x14ac:dyDescent="0.3">
      <c r="A283" s="22" t="s">
        <v>195</v>
      </c>
      <c r="B283" s="26"/>
      <c r="C283" s="26"/>
      <c r="D283" s="27"/>
      <c r="E283" s="28"/>
      <c r="F283" s="20">
        <f>F272+F280</f>
        <v>42461.130328228188</v>
      </c>
    </row>
    <row r="284" spans="1:7" ht="12.6" customHeight="1" x14ac:dyDescent="0.25">
      <c r="A284" s="50"/>
      <c r="B284" s="50"/>
      <c r="C284" s="50"/>
      <c r="D284" s="51"/>
      <c r="E284" s="51"/>
      <c r="F284" s="51"/>
    </row>
    <row r="285" spans="1:7" ht="13.8" hidden="1" x14ac:dyDescent="0.25">
      <c r="A285" s="6"/>
      <c r="B285" s="6"/>
      <c r="C285" s="6"/>
      <c r="D285" s="33"/>
      <c r="E285" s="33"/>
    </row>
    <row r="286" spans="1:7" ht="16.2" hidden="1" customHeight="1" x14ac:dyDescent="0.25">
      <c r="A286" s="212" t="s">
        <v>188</v>
      </c>
      <c r="B286" s="213"/>
      <c r="C286" s="213"/>
      <c r="D286" s="214"/>
      <c r="E286" s="215" t="s">
        <v>27</v>
      </c>
      <c r="G286" s="8" t="s">
        <v>175</v>
      </c>
    </row>
    <row r="287" spans="1:7" hidden="1" x14ac:dyDescent="0.25"/>
    <row r="288" spans="1:7" ht="25.5" hidden="1" customHeight="1" thickBot="1" x14ac:dyDescent="0.3">
      <c r="A288" s="22" t="s">
        <v>69</v>
      </c>
      <c r="B288" s="23"/>
      <c r="C288" s="23"/>
      <c r="D288" s="24"/>
      <c r="E288" s="216" t="s">
        <v>33</v>
      </c>
      <c r="F288" s="217" t="str">
        <f>IFERROR(F283/D286,"-")</f>
        <v>-</v>
      </c>
      <c r="G288" s="8" t="s">
        <v>175</v>
      </c>
    </row>
    <row r="289" spans="1:7" ht="12.6" hidden="1" customHeight="1" x14ac:dyDescent="0.25">
      <c r="A289" s="9"/>
      <c r="B289" s="9"/>
      <c r="C289" s="9"/>
      <c r="D289" s="32"/>
      <c r="E289" s="32"/>
      <c r="F289" s="32"/>
    </row>
    <row r="290" spans="1:7" s="2" customFormat="1" ht="9.75" hidden="1" customHeight="1" x14ac:dyDescent="0.25">
      <c r="A290" s="35"/>
      <c r="B290" s="8"/>
      <c r="C290" s="8"/>
      <c r="D290" s="8"/>
      <c r="E290" s="8"/>
      <c r="F290" s="8"/>
      <c r="G290" s="4"/>
    </row>
    <row r="291" spans="1:7" s="2" customFormat="1" ht="9.75" hidden="1" customHeight="1" x14ac:dyDescent="0.25">
      <c r="A291" s="35"/>
      <c r="B291" s="8"/>
      <c r="C291" s="8"/>
      <c r="D291" s="8"/>
      <c r="E291" s="8"/>
      <c r="F291" s="8"/>
      <c r="G291" s="4"/>
    </row>
    <row r="292" spans="1:7" s="2" customFormat="1" ht="9.75" hidden="1" customHeight="1" x14ac:dyDescent="0.25">
      <c r="A292" s="35"/>
      <c r="B292" s="8"/>
      <c r="C292" s="8"/>
      <c r="D292" s="8"/>
      <c r="E292" s="8"/>
      <c r="F292" s="8"/>
      <c r="G292" s="4"/>
    </row>
    <row r="293" spans="1:7" x14ac:dyDescent="0.25">
      <c r="F293" s="40"/>
    </row>
    <row r="294" spans="1:7" x14ac:dyDescent="0.25">
      <c r="F294" s="305"/>
    </row>
    <row r="322" s="7" customFormat="1" ht="9" customHeight="1" x14ac:dyDescent="0.25"/>
  </sheetData>
  <mergeCells count="7">
    <mergeCell ref="A48:D48"/>
    <mergeCell ref="A26:C26"/>
    <mergeCell ref="A12:F12"/>
    <mergeCell ref="A13:F13"/>
    <mergeCell ref="A42:D42"/>
    <mergeCell ref="A15:F15"/>
    <mergeCell ref="A41:E41"/>
  </mergeCells>
  <phoneticPr fontId="32" type="noConversion"/>
  <hyperlinks>
    <hyperlink ref="A184" location="AbaRemun" display="3.1.2. Remuneração do Capital"/>
    <hyperlink ref="A167" location="AbaDeprec" display="3.1.1. Depreciação"/>
  </hyperlinks>
  <pageMargins left="0.9055118110236221" right="0.51181102362204722" top="0.74803149606299213" bottom="0.74803149606299213" header="0.31496062992125984" footer="0.31496062992125984"/>
  <pageSetup paperSize="9" scale="75" fitToHeight="4" orientation="portrait" r:id="rId1"/>
  <headerFooter alignWithMargins="0">
    <oddFooter>&amp;R&amp;P de &amp;N</oddFooter>
  </headerFooter>
  <rowBreaks count="2" manualBreakCount="2">
    <brk id="102" max="5" man="1"/>
    <brk id="183" max="5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7"/>
  <sheetViews>
    <sheetView topLeftCell="A15" zoomScale="130" zoomScaleNormal="130" zoomScaleSheetLayoutView="100" workbookViewId="0">
      <selection activeCell="C12" sqref="C12"/>
    </sheetView>
  </sheetViews>
  <sheetFormatPr defaultColWidth="9.109375" defaultRowHeight="13.2" x14ac:dyDescent="0.25"/>
  <cols>
    <col min="1" max="1" width="44.5546875" style="309" customWidth="1"/>
    <col min="2" max="2" width="16" style="309" bestFit="1" customWidth="1"/>
    <col min="3" max="3" width="11.88671875" style="309" customWidth="1"/>
    <col min="4" max="4" width="14.6640625" style="280" customWidth="1"/>
    <col min="5" max="5" width="15.44140625" style="280" customWidth="1"/>
    <col min="6" max="6" width="12.44140625" style="280" customWidth="1"/>
    <col min="7" max="7" width="28.109375" style="280" customWidth="1"/>
    <col min="8" max="8" width="9.109375" style="309"/>
    <col min="9" max="9" width="14.5546875" style="309" customWidth="1"/>
    <col min="10" max="10" width="13.44140625" style="309" customWidth="1"/>
    <col min="11" max="16384" width="9.109375" style="309"/>
  </cols>
  <sheetData>
    <row r="1" spans="1:7" hidden="1" x14ac:dyDescent="0.25">
      <c r="A1" s="308" t="s">
        <v>173</v>
      </c>
    </row>
    <row r="2" spans="1:7" hidden="1" x14ac:dyDescent="0.25">
      <c r="A2" s="310" t="s">
        <v>349</v>
      </c>
    </row>
    <row r="3" spans="1:7" hidden="1" x14ac:dyDescent="0.25">
      <c r="A3" s="309" t="s">
        <v>174</v>
      </c>
    </row>
    <row r="4" spans="1:7" hidden="1" x14ac:dyDescent="0.25">
      <c r="A4" s="310" t="s">
        <v>350</v>
      </c>
    </row>
    <row r="5" spans="1:7" ht="16.5" customHeight="1" thickBot="1" x14ac:dyDescent="0.3">
      <c r="A5" s="134" t="s">
        <v>392</v>
      </c>
      <c r="B5" s="310"/>
      <c r="C5" s="310"/>
      <c r="D5" s="4"/>
      <c r="E5" s="4"/>
      <c r="F5" s="4"/>
      <c r="G5" s="4"/>
    </row>
    <row r="6" spans="1:7" s="311" customFormat="1" ht="17.399999999999999" x14ac:dyDescent="0.25">
      <c r="A6" s="446" t="s">
        <v>426</v>
      </c>
      <c r="B6" s="447"/>
      <c r="C6" s="447"/>
      <c r="D6" s="447"/>
      <c r="E6" s="447"/>
      <c r="F6" s="448"/>
      <c r="G6" s="33"/>
    </row>
    <row r="7" spans="1:7" s="311" customFormat="1" ht="21.75" customHeight="1" x14ac:dyDescent="0.25">
      <c r="A7" s="449" t="s">
        <v>44</v>
      </c>
      <c r="B7" s="450"/>
      <c r="C7" s="450"/>
      <c r="D7" s="450"/>
      <c r="E7" s="450"/>
      <c r="F7" s="451"/>
      <c r="G7" s="33"/>
    </row>
    <row r="8" spans="1:7" ht="10.95" customHeight="1" thickBot="1" x14ac:dyDescent="0.3">
      <c r="A8" s="312"/>
      <c r="B8" s="310"/>
      <c r="C8" s="310"/>
      <c r="D8" s="136"/>
      <c r="E8" s="136"/>
      <c r="F8" s="137"/>
      <c r="G8" s="4"/>
    </row>
    <row r="9" spans="1:7" ht="15.75" customHeight="1" thickBot="1" x14ac:dyDescent="0.3">
      <c r="A9" s="443" t="s">
        <v>172</v>
      </c>
      <c r="B9" s="444"/>
      <c r="C9" s="444"/>
      <c r="D9" s="444"/>
      <c r="E9" s="444"/>
      <c r="F9" s="445"/>
      <c r="G9" s="4"/>
    </row>
    <row r="10" spans="1:7" ht="15.75" customHeight="1" x14ac:dyDescent="0.25">
      <c r="A10" s="58" t="s">
        <v>171</v>
      </c>
      <c r="B10" s="36"/>
      <c r="C10" s="36"/>
      <c r="D10" s="221"/>
      <c r="E10" s="105" t="s">
        <v>39</v>
      </c>
      <c r="F10" s="37" t="s">
        <v>2</v>
      </c>
      <c r="G10" s="4"/>
    </row>
    <row r="11" spans="1:7" s="308" customFormat="1" ht="15.75" customHeight="1" x14ac:dyDescent="0.25">
      <c r="A11" s="124" t="str">
        <f>A17</f>
        <v xml:space="preserve">1. Destinação final </v>
      </c>
      <c r="B11" s="314"/>
      <c r="C11" s="115"/>
      <c r="D11" s="115"/>
      <c r="E11" s="313">
        <f>+F22</f>
        <v>12299.378000000001</v>
      </c>
      <c r="F11" s="116">
        <f>IFERROR(E11/$E$13,0)</f>
        <v>0.87282883826481628</v>
      </c>
      <c r="G11" s="40"/>
    </row>
    <row r="12" spans="1:7" s="308" customFormat="1" ht="15.75" customHeight="1" thickBot="1" x14ac:dyDescent="0.3">
      <c r="A12" s="124" t="str">
        <f>A27</f>
        <v>2. Benefícios e Despesas Indiretas - BDI</v>
      </c>
      <c r="B12" s="314"/>
      <c r="C12" s="115"/>
      <c r="D12" s="115"/>
      <c r="E12" s="315">
        <f>+F32</f>
        <v>1792.0193746000002</v>
      </c>
      <c r="F12" s="116">
        <f>IFERROR(E12/$E$13,0)</f>
        <v>0.12717116173518372</v>
      </c>
      <c r="G12" s="40"/>
    </row>
    <row r="13" spans="1:7" ht="15.75" customHeight="1" thickBot="1" x14ac:dyDescent="0.3">
      <c r="A13" s="38" t="s">
        <v>356</v>
      </c>
      <c r="B13" s="316"/>
      <c r="C13" s="24"/>
      <c r="D13" s="24"/>
      <c r="E13" s="317">
        <f>E11+E12</f>
        <v>14091.397374600001</v>
      </c>
      <c r="F13" s="129">
        <f>F11+F12</f>
        <v>1</v>
      </c>
      <c r="G13" s="4"/>
    </row>
    <row r="16" spans="1:7" ht="11.25" customHeight="1" x14ac:dyDescent="0.25">
      <c r="G16" s="309"/>
    </row>
    <row r="17" spans="1:7" ht="13.8" thickBot="1" x14ac:dyDescent="0.3">
      <c r="A17" s="308" t="s">
        <v>355</v>
      </c>
      <c r="B17" s="308"/>
      <c r="C17" s="308"/>
      <c r="D17" s="32"/>
      <c r="E17" s="32"/>
      <c r="F17" s="31"/>
      <c r="G17" s="309"/>
    </row>
    <row r="18" spans="1:7" ht="13.8" thickBot="1" x14ac:dyDescent="0.3">
      <c r="A18" s="318" t="s">
        <v>63</v>
      </c>
      <c r="B18" s="319" t="s">
        <v>64</v>
      </c>
      <c r="C18" s="319" t="s">
        <v>41</v>
      </c>
      <c r="D18" s="56" t="s">
        <v>199</v>
      </c>
      <c r="E18" s="56" t="s">
        <v>65</v>
      </c>
      <c r="F18" s="57" t="s">
        <v>66</v>
      </c>
      <c r="G18" s="309"/>
    </row>
    <row r="19" spans="1:7" ht="13.8" thickBot="1" x14ac:dyDescent="0.3">
      <c r="A19" s="323" t="s">
        <v>351</v>
      </c>
      <c r="B19" s="324" t="s">
        <v>352</v>
      </c>
      <c r="C19" s="332">
        <f>'5. Ton'!B21</f>
        <v>67.579000000000008</v>
      </c>
      <c r="D19" s="260">
        <v>182</v>
      </c>
      <c r="E19" s="281">
        <f>C19*D19</f>
        <v>12299.378000000001</v>
      </c>
      <c r="F19" s="333"/>
      <c r="G19" s="309"/>
    </row>
    <row r="20" spans="1:7" ht="13.8" thickBot="1" x14ac:dyDescent="0.3">
      <c r="A20" s="308"/>
      <c r="B20" s="308"/>
      <c r="C20" s="308"/>
      <c r="D20" s="308"/>
      <c r="E20" s="32"/>
      <c r="F20" s="19">
        <f>SUM(E19:E19)</f>
        <v>12299.378000000001</v>
      </c>
      <c r="G20" s="309"/>
    </row>
    <row r="21" spans="1:7" ht="11.25" customHeight="1" thickBot="1" x14ac:dyDescent="0.3">
      <c r="G21" s="309"/>
    </row>
    <row r="22" spans="1:7" ht="13.8" thickBot="1" x14ac:dyDescent="0.3">
      <c r="A22" s="326" t="s">
        <v>353</v>
      </c>
      <c r="B22" s="327"/>
      <c r="C22" s="327"/>
      <c r="D22" s="24"/>
      <c r="E22" s="25"/>
      <c r="F22" s="19">
        <f>+F20</f>
        <v>12299.378000000001</v>
      </c>
      <c r="G22" s="309"/>
    </row>
    <row r="23" spans="1:7" ht="11.25" customHeight="1" x14ac:dyDescent="0.25">
      <c r="G23" s="309"/>
    </row>
    <row r="24" spans="1:7" ht="11.25" customHeight="1" thickBot="1" x14ac:dyDescent="0.3"/>
    <row r="25" spans="1:7" ht="17.25" customHeight="1" thickBot="1" x14ac:dyDescent="0.3">
      <c r="A25" s="326" t="s">
        <v>194</v>
      </c>
      <c r="B25" s="328"/>
      <c r="C25" s="328"/>
      <c r="D25" s="329"/>
      <c r="E25" s="330"/>
      <c r="F25" s="20">
        <f>F22</f>
        <v>12299.378000000001</v>
      </c>
    </row>
    <row r="26" spans="1:7" ht="11.25" customHeight="1" x14ac:dyDescent="0.25"/>
    <row r="27" spans="1:7" ht="13.8" thickBot="1" x14ac:dyDescent="0.3">
      <c r="A27" s="308" t="s">
        <v>360</v>
      </c>
    </row>
    <row r="28" spans="1:7" ht="13.8" thickBot="1" x14ac:dyDescent="0.3">
      <c r="A28" s="318" t="s">
        <v>63</v>
      </c>
      <c r="B28" s="319" t="s">
        <v>64</v>
      </c>
      <c r="C28" s="319" t="s">
        <v>41</v>
      </c>
      <c r="D28" s="56" t="s">
        <v>199</v>
      </c>
      <c r="E28" s="56" t="s">
        <v>65</v>
      </c>
      <c r="F28" s="57" t="s">
        <v>66</v>
      </c>
    </row>
    <row r="29" spans="1:7" ht="13.8" thickBot="1" x14ac:dyDescent="0.3">
      <c r="A29" s="320" t="s">
        <v>37</v>
      </c>
      <c r="B29" s="321" t="s">
        <v>2</v>
      </c>
      <c r="C29" s="325">
        <f>'4.1.BDI Aterro'!C21*100</f>
        <v>14.57</v>
      </c>
      <c r="D29" s="322">
        <f>+F25</f>
        <v>12299.378000000001</v>
      </c>
      <c r="E29" s="322">
        <f>C29*D29/100</f>
        <v>1792.0193746000002</v>
      </c>
    </row>
    <row r="30" spans="1:7" ht="13.8" thickBot="1" x14ac:dyDescent="0.3">
      <c r="F30" s="19">
        <f>+E29</f>
        <v>1792.0193746000002</v>
      </c>
    </row>
    <row r="31" spans="1:7" ht="11.25" customHeight="1" thickBot="1" x14ac:dyDescent="0.3"/>
    <row r="32" spans="1:7" ht="13.8" thickBot="1" x14ac:dyDescent="0.3">
      <c r="A32" s="326" t="s">
        <v>204</v>
      </c>
      <c r="B32" s="328"/>
      <c r="C32" s="328"/>
      <c r="D32" s="329"/>
      <c r="E32" s="330"/>
      <c r="F32" s="20">
        <f>F30</f>
        <v>1792.0193746000002</v>
      </c>
    </row>
    <row r="33" spans="1:7" x14ac:dyDescent="0.25">
      <c r="A33" s="308"/>
      <c r="B33" s="308"/>
      <c r="C33" s="308"/>
      <c r="D33" s="32"/>
      <c r="E33" s="32"/>
      <c r="F33" s="31"/>
    </row>
    <row r="34" spans="1:7" ht="11.25" customHeight="1" thickBot="1" x14ac:dyDescent="0.3"/>
    <row r="35" spans="1:7" ht="24.75" customHeight="1" x14ac:dyDescent="0.25">
      <c r="A35" s="334" t="s">
        <v>195</v>
      </c>
      <c r="B35" s="335"/>
      <c r="C35" s="335"/>
      <c r="D35" s="336"/>
      <c r="E35" s="337"/>
      <c r="F35" s="338">
        <f>F25+F32</f>
        <v>14091.397374600001</v>
      </c>
    </row>
    <row r="36" spans="1:7" ht="12.6" customHeight="1" x14ac:dyDescent="0.25">
      <c r="A36" s="339" t="s">
        <v>354</v>
      </c>
      <c r="B36" s="340"/>
      <c r="C36" s="341"/>
      <c r="D36" s="342"/>
      <c r="E36" s="342">
        <f>F35/C19</f>
        <v>208.51739999999998</v>
      </c>
      <c r="F36" s="343"/>
    </row>
    <row r="37" spans="1:7" ht="9.75" customHeight="1" x14ac:dyDescent="0.25">
      <c r="A37" s="35"/>
      <c r="B37" s="280"/>
      <c r="C37" s="280"/>
      <c r="G37" s="4"/>
    </row>
    <row r="39" spans="1:7" x14ac:dyDescent="0.25">
      <c r="F39" s="331"/>
    </row>
    <row r="67" s="309" customFormat="1" ht="9" customHeight="1" x14ac:dyDescent="0.25"/>
  </sheetData>
  <mergeCells count="3">
    <mergeCell ref="A6:F6"/>
    <mergeCell ref="A7:F7"/>
    <mergeCell ref="A9:F9"/>
  </mergeCells>
  <pageMargins left="0.9055118110236221" right="0.51181102362204722" top="0.74803149606299213" bottom="0.74803149606299213" header="0.31496062992125984" footer="0.31496062992125984"/>
  <pageSetup paperSize="9" scale="76" orientation="portrait" r:id="rId1"/>
  <headerFooter alignWithMargins="0">
    <oddFooter>&amp;R&amp;P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opLeftCell="A25" workbookViewId="0">
      <selection activeCell="C12" sqref="C12"/>
    </sheetView>
  </sheetViews>
  <sheetFormatPr defaultColWidth="9.109375" defaultRowHeight="13.2" x14ac:dyDescent="0.25"/>
  <cols>
    <col min="1" max="1" width="13.5546875" style="1" customWidth="1"/>
    <col min="2" max="2" width="39.5546875" style="1" bestFit="1" customWidth="1"/>
    <col min="3" max="3" width="15.33203125" style="1" customWidth="1"/>
    <col min="4" max="4" width="37.33203125" style="1" customWidth="1"/>
    <col min="5" max="10" width="9.109375" style="1"/>
    <col min="11" max="11" width="11" style="1" bestFit="1" customWidth="1"/>
    <col min="12" max="16384" width="9.109375" style="1"/>
  </cols>
  <sheetData>
    <row r="1" spans="1:7" hidden="1" x14ac:dyDescent="0.25">
      <c r="A1" s="9" t="s">
        <v>173</v>
      </c>
    </row>
    <row r="2" spans="1:7" hidden="1" x14ac:dyDescent="0.25">
      <c r="A2" s="126" t="s">
        <v>206</v>
      </c>
    </row>
    <row r="3" spans="1:7" s="2" customFormat="1" ht="15.6" hidden="1" customHeight="1" x14ac:dyDescent="0.25">
      <c r="B3" s="3"/>
      <c r="C3" s="3"/>
      <c r="D3" s="3"/>
      <c r="E3" s="3"/>
      <c r="F3" s="3"/>
      <c r="G3" s="4"/>
    </row>
    <row r="4" spans="1:7" s="2" customFormat="1" ht="15.6" hidden="1" customHeight="1" x14ac:dyDescent="0.25">
      <c r="A4" s="257" t="s">
        <v>253</v>
      </c>
      <c r="B4" s="3"/>
      <c r="C4" s="3"/>
      <c r="D4" s="3"/>
      <c r="E4" s="3"/>
      <c r="F4" s="3"/>
      <c r="G4" s="4"/>
    </row>
    <row r="5" spans="1:7" s="2" customFormat="1" ht="16.5" customHeight="1" x14ac:dyDescent="0.25">
      <c r="A5" s="278" t="s">
        <v>267</v>
      </c>
      <c r="B5" s="3"/>
      <c r="C5" s="3"/>
      <c r="D5" s="4"/>
      <c r="E5" s="4"/>
      <c r="F5" s="4"/>
      <c r="G5" s="4"/>
    </row>
    <row r="6" spans="1:7" s="2" customFormat="1" ht="16.5" customHeight="1" x14ac:dyDescent="0.25">
      <c r="A6" s="278" t="s">
        <v>268</v>
      </c>
      <c r="B6" s="3"/>
      <c r="C6" s="3"/>
      <c r="D6" s="4"/>
      <c r="E6" s="4"/>
      <c r="F6" s="4"/>
      <c r="G6" s="4"/>
    </row>
    <row r="7" spans="1:7" ht="13.8" thickBot="1" x14ac:dyDescent="0.3"/>
    <row r="8" spans="1:7" ht="17.399999999999999" x14ac:dyDescent="0.25">
      <c r="A8" s="452" t="s">
        <v>323</v>
      </c>
      <c r="B8" s="453"/>
      <c r="C8" s="454"/>
      <c r="D8" s="134"/>
      <c r="E8" s="134"/>
      <c r="F8" s="134"/>
    </row>
    <row r="9" spans="1:7" ht="13.8" x14ac:dyDescent="0.25">
      <c r="A9" s="143" t="s">
        <v>112</v>
      </c>
      <c r="B9" s="144" t="s">
        <v>113</v>
      </c>
      <c r="C9" s="145" t="s">
        <v>114</v>
      </c>
      <c r="D9" s="146"/>
    </row>
    <row r="10" spans="1:7" ht="13.8" x14ac:dyDescent="0.25">
      <c r="A10" s="143" t="s">
        <v>115</v>
      </c>
      <c r="B10" s="144" t="s">
        <v>42</v>
      </c>
      <c r="C10" s="147">
        <v>0.2</v>
      </c>
      <c r="D10" s="146"/>
    </row>
    <row r="11" spans="1:7" ht="13.8" x14ac:dyDescent="0.25">
      <c r="A11" s="143" t="s">
        <v>116</v>
      </c>
      <c r="B11" s="144" t="s">
        <v>117</v>
      </c>
      <c r="C11" s="147">
        <v>1.4999999999999999E-2</v>
      </c>
      <c r="D11" s="146"/>
    </row>
    <row r="12" spans="1:7" ht="13.8" x14ac:dyDescent="0.25">
      <c r="A12" s="143" t="s">
        <v>118</v>
      </c>
      <c r="B12" s="144" t="s">
        <v>119</v>
      </c>
      <c r="C12" s="147">
        <v>0.01</v>
      </c>
      <c r="D12" s="146"/>
    </row>
    <row r="13" spans="1:7" ht="13.8" x14ac:dyDescent="0.25">
      <c r="A13" s="143" t="s">
        <v>120</v>
      </c>
      <c r="B13" s="144" t="s">
        <v>121</v>
      </c>
      <c r="C13" s="147">
        <v>2E-3</v>
      </c>
      <c r="D13" s="146"/>
    </row>
    <row r="14" spans="1:7" ht="13.8" x14ac:dyDescent="0.25">
      <c r="A14" s="143" t="s">
        <v>122</v>
      </c>
      <c r="B14" s="144" t="s">
        <v>123</v>
      </c>
      <c r="C14" s="147">
        <v>6.0000000000000001E-3</v>
      </c>
      <c r="D14" s="146"/>
    </row>
    <row r="15" spans="1:7" ht="13.8" x14ac:dyDescent="0.25">
      <c r="A15" s="143" t="s">
        <v>124</v>
      </c>
      <c r="B15" s="144" t="s">
        <v>125</v>
      </c>
      <c r="C15" s="147">
        <v>2.5000000000000001E-2</v>
      </c>
      <c r="D15" s="146"/>
    </row>
    <row r="16" spans="1:7" ht="13.8" x14ac:dyDescent="0.25">
      <c r="A16" s="143" t="s">
        <v>126</v>
      </c>
      <c r="B16" s="144" t="s">
        <v>127</v>
      </c>
      <c r="C16" s="147">
        <v>0.03</v>
      </c>
      <c r="D16" s="146"/>
    </row>
    <row r="17" spans="1:8" ht="13.8" x14ac:dyDescent="0.25">
      <c r="A17" s="143" t="s">
        <v>128</v>
      </c>
      <c r="B17" s="144" t="s">
        <v>43</v>
      </c>
      <c r="C17" s="147">
        <v>0.08</v>
      </c>
      <c r="D17" s="146"/>
    </row>
    <row r="18" spans="1:8" ht="13.8" x14ac:dyDescent="0.25">
      <c r="A18" s="143" t="s">
        <v>129</v>
      </c>
      <c r="B18" s="148" t="s">
        <v>130</v>
      </c>
      <c r="C18" s="149">
        <f>SUM(C10:C17)</f>
        <v>0.36800000000000005</v>
      </c>
      <c r="D18" s="146"/>
    </row>
    <row r="19" spans="1:8" ht="13.8" x14ac:dyDescent="0.25">
      <c r="A19" s="150"/>
      <c r="B19" s="151"/>
      <c r="C19" s="152"/>
      <c r="D19" s="146"/>
    </row>
    <row r="20" spans="1:8" ht="13.8" x14ac:dyDescent="0.25">
      <c r="A20" s="143" t="s">
        <v>131</v>
      </c>
      <c r="B20" s="153" t="s">
        <v>132</v>
      </c>
      <c r="C20" s="147">
        <v>6.5699999999999995E-2</v>
      </c>
      <c r="D20" s="146"/>
    </row>
    <row r="21" spans="1:8" ht="13.8" x14ac:dyDescent="0.25">
      <c r="A21" s="143" t="s">
        <v>133</v>
      </c>
      <c r="B21" s="153" t="s">
        <v>134</v>
      </c>
      <c r="C21" s="147">
        <v>8.3299999999999999E-2</v>
      </c>
      <c r="D21" s="146"/>
    </row>
    <row r="22" spans="1:8" ht="13.8" x14ac:dyDescent="0.25">
      <c r="A22" s="143" t="s">
        <v>187</v>
      </c>
      <c r="B22" s="153" t="s">
        <v>136</v>
      </c>
      <c r="C22" s="147">
        <v>5.9999999999999995E-4</v>
      </c>
      <c r="D22" s="146"/>
    </row>
    <row r="23" spans="1:8" ht="13.8" x14ac:dyDescent="0.25">
      <c r="A23" s="143" t="s">
        <v>135</v>
      </c>
      <c r="B23" s="153" t="s">
        <v>138</v>
      </c>
      <c r="C23" s="147">
        <v>8.9999999999999993E-3</v>
      </c>
      <c r="D23" s="146"/>
    </row>
    <row r="24" spans="1:8" ht="13.8" x14ac:dyDescent="0.25">
      <c r="A24" s="143" t="s">
        <v>137</v>
      </c>
      <c r="B24" s="153" t="s">
        <v>140</v>
      </c>
      <c r="C24" s="147">
        <v>3.0999999999999999E-3</v>
      </c>
      <c r="D24" s="146"/>
    </row>
    <row r="25" spans="1:8" ht="13.8" x14ac:dyDescent="0.25">
      <c r="A25" s="143" t="s">
        <v>139</v>
      </c>
      <c r="B25" s="153" t="s">
        <v>141</v>
      </c>
      <c r="C25" s="147">
        <v>1.6E-2</v>
      </c>
      <c r="D25" s="146"/>
    </row>
    <row r="26" spans="1:8" ht="13.8" x14ac:dyDescent="0.25">
      <c r="A26" s="143" t="s">
        <v>142</v>
      </c>
      <c r="B26" s="148" t="s">
        <v>143</v>
      </c>
      <c r="C26" s="149">
        <f>SUM(C20:C25)</f>
        <v>0.17769999999999997</v>
      </c>
      <c r="D26" s="154"/>
    </row>
    <row r="27" spans="1:8" ht="13.8" x14ac:dyDescent="0.25">
      <c r="A27" s="150"/>
      <c r="B27" s="151"/>
      <c r="C27" s="152"/>
      <c r="D27" s="154"/>
    </row>
    <row r="28" spans="1:8" ht="13.8" x14ac:dyDescent="0.25">
      <c r="A28" s="143" t="s">
        <v>144</v>
      </c>
      <c r="B28" s="144" t="s">
        <v>145</v>
      </c>
      <c r="C28" s="147">
        <v>2.1000000000000001E-2</v>
      </c>
      <c r="D28" s="146"/>
      <c r="E28" s="155"/>
    </row>
    <row r="29" spans="1:8" ht="13.8" x14ac:dyDescent="0.25">
      <c r="A29" s="143" t="s">
        <v>186</v>
      </c>
      <c r="B29" s="144" t="s">
        <v>147</v>
      </c>
      <c r="C29" s="147">
        <v>4.5400000000000003E-2</v>
      </c>
      <c r="D29" s="146"/>
      <c r="H29" s="156"/>
    </row>
    <row r="30" spans="1:8" ht="13.8" x14ac:dyDescent="0.25">
      <c r="A30" s="143" t="s">
        <v>146</v>
      </c>
      <c r="B30" s="144" t="s">
        <v>149</v>
      </c>
      <c r="C30" s="147">
        <f>C28*C29</f>
        <v>9.5340000000000008E-4</v>
      </c>
      <c r="D30" s="146"/>
      <c r="E30" s="155"/>
    </row>
    <row r="31" spans="1:8" ht="13.8" x14ac:dyDescent="0.25">
      <c r="A31" s="143" t="s">
        <v>148</v>
      </c>
      <c r="B31" s="144" t="s">
        <v>151</v>
      </c>
      <c r="C31" s="147">
        <v>1.9E-2</v>
      </c>
      <c r="D31" s="146"/>
      <c r="G31" s="155"/>
    </row>
    <row r="32" spans="1:8" ht="13.8" x14ac:dyDescent="0.25">
      <c r="A32" s="143" t="s">
        <v>150</v>
      </c>
      <c r="B32" s="144" t="s">
        <v>152</v>
      </c>
      <c r="C32" s="147">
        <v>2E-3</v>
      </c>
      <c r="D32" s="146"/>
    </row>
    <row r="33" spans="1:4" ht="13.8" x14ac:dyDescent="0.25">
      <c r="A33" s="143" t="s">
        <v>153</v>
      </c>
      <c r="B33" s="148" t="s">
        <v>154</v>
      </c>
      <c r="C33" s="149">
        <f>SUM(C28:C32)</f>
        <v>8.8353400000000012E-2</v>
      </c>
      <c r="D33" s="154"/>
    </row>
    <row r="34" spans="1:4" ht="13.8" x14ac:dyDescent="0.25">
      <c r="A34" s="150"/>
      <c r="B34" s="151"/>
      <c r="C34" s="152"/>
      <c r="D34" s="154"/>
    </row>
    <row r="35" spans="1:4" ht="13.8" x14ac:dyDescent="0.25">
      <c r="A35" s="143" t="s">
        <v>155</v>
      </c>
      <c r="B35" s="144" t="s">
        <v>156</v>
      </c>
      <c r="C35" s="147">
        <f>ROUND(C18*C26,4)</f>
        <v>6.54E-2</v>
      </c>
      <c r="D35" s="146"/>
    </row>
    <row r="36" spans="1:4" ht="27.6" x14ac:dyDescent="0.25">
      <c r="A36" s="143" t="s">
        <v>157</v>
      </c>
      <c r="B36" s="157" t="s">
        <v>249</v>
      </c>
      <c r="C36" s="147">
        <f>ROUND((C28*C17),4)</f>
        <v>1.6999999999999999E-3</v>
      </c>
      <c r="D36" s="146"/>
    </row>
    <row r="37" spans="1:4" ht="13.8" x14ac:dyDescent="0.25">
      <c r="A37" s="143" t="s">
        <v>158</v>
      </c>
      <c r="B37" s="148" t="s">
        <v>159</v>
      </c>
      <c r="C37" s="149">
        <f>SUM(C35:C36)</f>
        <v>6.7099999999999993E-2</v>
      </c>
      <c r="D37" s="154"/>
    </row>
    <row r="38" spans="1:4" ht="14.4" thickBot="1" x14ac:dyDescent="0.3">
      <c r="A38" s="158"/>
      <c r="B38" s="159" t="s">
        <v>160</v>
      </c>
      <c r="C38" s="160">
        <f>C37+C33+C26+C18</f>
        <v>0.70115340000000004</v>
      </c>
      <c r="D38" s="154"/>
    </row>
    <row r="39" spans="1:4" ht="13.8" x14ac:dyDescent="0.25">
      <c r="A39" s="146"/>
      <c r="B39" s="161"/>
      <c r="C39" s="162"/>
      <c r="D39" s="163"/>
    </row>
    <row r="40" spans="1:4" ht="13.8" x14ac:dyDescent="0.25">
      <c r="A40" s="146"/>
      <c r="B40" s="146"/>
      <c r="C40" s="164"/>
      <c r="D40" s="165"/>
    </row>
    <row r="41" spans="1:4" ht="13.8" x14ac:dyDescent="0.25">
      <c r="A41" s="146"/>
      <c r="B41" s="146"/>
      <c r="C41" s="164"/>
      <c r="D41" s="146"/>
    </row>
    <row r="42" spans="1:4" ht="13.8" x14ac:dyDescent="0.25">
      <c r="A42" s="146"/>
      <c r="B42" s="146"/>
      <c r="C42" s="164"/>
      <c r="D42" s="146"/>
    </row>
    <row r="43" spans="1:4" ht="13.8" x14ac:dyDescent="0.25">
      <c r="A43" s="146"/>
      <c r="B43" s="146"/>
      <c r="C43" s="164"/>
      <c r="D43" s="146"/>
    </row>
    <row r="44" spans="1:4" ht="13.8" x14ac:dyDescent="0.25">
      <c r="A44" s="146"/>
      <c r="B44" s="161"/>
      <c r="C44" s="162"/>
      <c r="D44" s="146"/>
    </row>
    <row r="45" spans="1:4" ht="13.8" x14ac:dyDescent="0.25">
      <c r="A45" s="154"/>
      <c r="B45" s="161"/>
      <c r="C45" s="162"/>
      <c r="D45" s="154"/>
    </row>
    <row r="46" spans="1:4" ht="16.8" x14ac:dyDescent="0.25">
      <c r="A46" s="166"/>
    </row>
    <row r="47" spans="1:4" x14ac:dyDescent="0.25">
      <c r="A47" s="167"/>
      <c r="B47" s="168"/>
      <c r="C47" s="168"/>
    </row>
    <row r="48" spans="1:4" ht="13.8" x14ac:dyDescent="0.25">
      <c r="A48" s="146"/>
      <c r="B48" s="169"/>
      <c r="C48" s="168"/>
    </row>
    <row r="49" spans="1:3" ht="13.8" x14ac:dyDescent="0.25">
      <c r="A49" s="146"/>
      <c r="B49" s="169"/>
      <c r="C49" s="146"/>
    </row>
    <row r="50" spans="1:3" ht="13.8" x14ac:dyDescent="0.25">
      <c r="A50" s="146"/>
      <c r="B50" s="164"/>
      <c r="C50" s="168"/>
    </row>
    <row r="51" spans="1:3" ht="13.8" x14ac:dyDescent="0.25">
      <c r="A51" s="146"/>
      <c r="B51" s="169"/>
      <c r="C51" s="146"/>
    </row>
    <row r="52" spans="1:3" ht="13.8" x14ac:dyDescent="0.25">
      <c r="A52" s="146"/>
      <c r="B52" s="164"/>
      <c r="C52" s="168"/>
    </row>
    <row r="53" spans="1:3" ht="13.8" x14ac:dyDescent="0.25">
      <c r="A53" s="146"/>
      <c r="B53" s="169"/>
      <c r="C53" s="146"/>
    </row>
    <row r="54" spans="1:3" ht="13.8" x14ac:dyDescent="0.25">
      <c r="A54" s="146"/>
      <c r="B54" s="164"/>
      <c r="C54" s="168"/>
    </row>
    <row r="55" spans="1:3" ht="13.8" x14ac:dyDescent="0.25">
      <c r="A55" s="146"/>
      <c r="B55" s="169"/>
      <c r="C55" s="146"/>
    </row>
    <row r="56" spans="1:3" ht="13.8" x14ac:dyDescent="0.25">
      <c r="A56" s="146"/>
      <c r="B56" s="164"/>
      <c r="C56" s="168"/>
    </row>
    <row r="57" spans="1:3" ht="16.8" x14ac:dyDescent="0.25">
      <c r="A57" s="166"/>
    </row>
    <row r="60" spans="1:3" x14ac:dyDescent="0.25">
      <c r="A60" s="170"/>
    </row>
  </sheetData>
  <mergeCells count="1">
    <mergeCell ref="A8:C8"/>
  </mergeCells>
  <pageMargins left="0.90551181102362199" right="0.5118110236220472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C12" sqref="C12"/>
    </sheetView>
  </sheetViews>
  <sheetFormatPr defaultRowHeight="13.2" x14ac:dyDescent="0.25"/>
  <cols>
    <col min="1" max="1" width="41.88671875" bestFit="1" customWidth="1"/>
    <col min="2" max="2" width="5.5546875" bestFit="1" customWidth="1"/>
    <col min="4" max="4" width="9.6640625" bestFit="1" customWidth="1"/>
    <col min="5" max="5" width="8" style="110" bestFit="1" customWidth="1"/>
    <col min="6" max="6" width="9.6640625" bestFit="1" customWidth="1"/>
  </cols>
  <sheetData>
    <row r="1" spans="1:8" s="131" customFormat="1" ht="13.8" x14ac:dyDescent="0.25">
      <c r="A1" s="9" t="s">
        <v>173</v>
      </c>
      <c r="B1" s="6"/>
      <c r="C1" s="6"/>
      <c r="E1" s="132"/>
    </row>
    <row r="2" spans="1:8" s="131" customFormat="1" ht="13.8" x14ac:dyDescent="0.25">
      <c r="A2" s="126" t="s">
        <v>207</v>
      </c>
      <c r="B2" s="6"/>
      <c r="C2" s="6"/>
      <c r="E2" s="132"/>
    </row>
    <row r="3" spans="1:8" s="131" customFormat="1" ht="13.8" x14ac:dyDescent="0.25">
      <c r="A3" s="7" t="s">
        <v>174</v>
      </c>
      <c r="B3" s="6"/>
      <c r="C3" s="6"/>
      <c r="E3" s="132"/>
    </row>
    <row r="4" spans="1:8" s="131" customFormat="1" ht="13.8" x14ac:dyDescent="0.25">
      <c r="A4" s="7"/>
      <c r="B4" s="6"/>
      <c r="C4" s="6"/>
      <c r="E4" s="132"/>
    </row>
    <row r="5" spans="1:8" s="2" customFormat="1" ht="15.6" hidden="1" customHeight="1" x14ac:dyDescent="0.25">
      <c r="A5" s="257" t="s">
        <v>253</v>
      </c>
      <c r="B5" s="3"/>
      <c r="C5" s="3"/>
      <c r="D5" s="3"/>
      <c r="E5" s="3"/>
      <c r="F5" s="3"/>
      <c r="G5" s="4"/>
    </row>
    <row r="6" spans="1:8" s="2" customFormat="1" ht="16.5" customHeight="1" x14ac:dyDescent="0.25">
      <c r="A6" s="278" t="s">
        <v>265</v>
      </c>
      <c r="B6" s="3"/>
      <c r="C6" s="3"/>
      <c r="D6" s="4"/>
      <c r="E6" s="4"/>
      <c r="F6" s="4"/>
      <c r="G6" s="4"/>
    </row>
    <row r="7" spans="1:8" s="2" customFormat="1" ht="16.5" customHeight="1" x14ac:dyDescent="0.25">
      <c r="A7" s="278" t="s">
        <v>266</v>
      </c>
      <c r="B7" s="3"/>
      <c r="C7" s="3"/>
      <c r="D7" s="4"/>
      <c r="E7" s="4"/>
      <c r="F7" s="4"/>
      <c r="G7" s="4"/>
    </row>
    <row r="8" spans="1:8" s="131" customFormat="1" ht="14.4" thickBot="1" x14ac:dyDescent="0.3">
      <c r="B8" s="6"/>
      <c r="C8" s="6"/>
      <c r="E8" s="132"/>
    </row>
    <row r="9" spans="1:8" ht="15.6" x14ac:dyDescent="0.25">
      <c r="A9" s="460" t="s">
        <v>324</v>
      </c>
      <c r="B9" s="461"/>
      <c r="C9" s="461"/>
      <c r="D9" s="461"/>
      <c r="E9" s="461"/>
      <c r="F9" s="462"/>
    </row>
    <row r="10" spans="1:8" ht="16.2" thickBot="1" x14ac:dyDescent="0.3">
      <c r="A10" s="223"/>
      <c r="B10" s="224"/>
      <c r="C10" s="224"/>
      <c r="D10" s="224"/>
      <c r="E10" s="224"/>
      <c r="F10" s="225"/>
    </row>
    <row r="11" spans="1:8" ht="13.8" x14ac:dyDescent="0.25">
      <c r="A11" s="174"/>
      <c r="B11" s="6"/>
      <c r="C11" s="6"/>
      <c r="D11" s="457" t="s">
        <v>205</v>
      </c>
      <c r="E11" s="458"/>
      <c r="F11" s="459"/>
      <c r="G11" s="131"/>
      <c r="H11" s="131"/>
    </row>
    <row r="12" spans="1:8" ht="14.4" thickBot="1" x14ac:dyDescent="0.3">
      <c r="A12" s="173"/>
      <c r="B12" s="131"/>
      <c r="C12" s="131"/>
      <c r="D12" s="175" t="s">
        <v>161</v>
      </c>
      <c r="E12" s="176" t="s">
        <v>162</v>
      </c>
      <c r="F12" s="177" t="s">
        <v>163</v>
      </c>
      <c r="G12" s="131"/>
      <c r="H12" s="131"/>
    </row>
    <row r="13" spans="1:8" ht="13.8" x14ac:dyDescent="0.25">
      <c r="A13" s="178" t="s">
        <v>74</v>
      </c>
      <c r="B13" s="179" t="s">
        <v>75</v>
      </c>
      <c r="C13" s="180">
        <v>5.5E-2</v>
      </c>
      <c r="D13" s="201">
        <v>2.9700000000000001E-2</v>
      </c>
      <c r="E13" s="202">
        <v>5.0799999999999998E-2</v>
      </c>
      <c r="F13" s="203">
        <v>6.2700000000000006E-2</v>
      </c>
      <c r="G13" s="131"/>
      <c r="H13" s="131"/>
    </row>
    <row r="14" spans="1:8" ht="13.8" x14ac:dyDescent="0.25">
      <c r="A14" s="182" t="s">
        <v>76</v>
      </c>
      <c r="B14" s="183" t="s">
        <v>77</v>
      </c>
      <c r="C14" s="184">
        <v>1.3299999999999999E-2</v>
      </c>
      <c r="D14" s="201">
        <f>0.3%+0.56%</f>
        <v>8.6E-3</v>
      </c>
      <c r="E14" s="202">
        <f>0.48%+0.85%</f>
        <v>1.3299999999999999E-2</v>
      </c>
      <c r="F14" s="203">
        <f>0.82%+0.89%</f>
        <v>1.7099999999999997E-2</v>
      </c>
      <c r="G14" s="131"/>
      <c r="H14" s="131"/>
    </row>
    <row r="15" spans="1:8" ht="13.8" x14ac:dyDescent="0.25">
      <c r="A15" s="182" t="s">
        <v>78</v>
      </c>
      <c r="B15" s="183" t="s">
        <v>79</v>
      </c>
      <c r="C15" s="184">
        <v>0.11</v>
      </c>
      <c r="D15" s="201">
        <v>7.7799999999999994E-2</v>
      </c>
      <c r="E15" s="202">
        <v>0.1085</v>
      </c>
      <c r="F15" s="203">
        <v>0.13550000000000001</v>
      </c>
      <c r="G15" s="131"/>
      <c r="H15" s="131"/>
    </row>
    <row r="16" spans="1:8" ht="13.8" x14ac:dyDescent="0.25">
      <c r="A16" s="182" t="s">
        <v>80</v>
      </c>
      <c r="B16" s="183" t="s">
        <v>81</v>
      </c>
      <c r="C16" s="185">
        <f>(1+E16)^(E17/252)-1</f>
        <v>2.6031494362050989E-3</v>
      </c>
      <c r="D16" s="201" t="s">
        <v>241</v>
      </c>
      <c r="E16" s="186">
        <v>0.14000000000000001</v>
      </c>
      <c r="F16" s="181"/>
      <c r="G16" s="131"/>
      <c r="H16" s="131"/>
    </row>
    <row r="17" spans="1:8" ht="13.8" x14ac:dyDescent="0.25">
      <c r="A17" s="182" t="s">
        <v>82</v>
      </c>
      <c r="B17" s="455" t="s">
        <v>83</v>
      </c>
      <c r="C17" s="184">
        <v>0.03</v>
      </c>
      <c r="D17" s="255" t="s">
        <v>164</v>
      </c>
      <c r="E17" s="187">
        <v>5</v>
      </c>
      <c r="F17" s="188"/>
      <c r="G17" s="131"/>
      <c r="H17" s="131"/>
    </row>
    <row r="18" spans="1:8" ht="14.4" thickBot="1" x14ac:dyDescent="0.3">
      <c r="A18" s="189" t="s">
        <v>309</v>
      </c>
      <c r="B18" s="456"/>
      <c r="C18" s="190">
        <v>3.6499999999999998E-2</v>
      </c>
      <c r="D18" s="171"/>
      <c r="E18" s="191"/>
      <c r="F18" s="188"/>
      <c r="G18" s="131"/>
      <c r="H18" s="131"/>
    </row>
    <row r="19" spans="1:8" ht="13.8" x14ac:dyDescent="0.25">
      <c r="A19" s="192" t="s">
        <v>84</v>
      </c>
      <c r="B19" s="193"/>
      <c r="C19" s="194"/>
      <c r="D19" s="171"/>
      <c r="E19" s="191"/>
      <c r="F19" s="188"/>
      <c r="G19" s="131"/>
      <c r="H19" s="131"/>
    </row>
    <row r="20" spans="1:8" ht="14.4" thickBot="1" x14ac:dyDescent="0.3">
      <c r="A20" s="195" t="s">
        <v>85</v>
      </c>
      <c r="B20" s="196"/>
      <c r="C20" s="197"/>
      <c r="D20" s="171"/>
      <c r="E20" s="191"/>
      <c r="F20" s="188"/>
      <c r="G20" s="131"/>
      <c r="H20" s="131"/>
    </row>
    <row r="21" spans="1:8" ht="14.4" thickBot="1" x14ac:dyDescent="0.3">
      <c r="A21" s="198" t="s">
        <v>86</v>
      </c>
      <c r="B21" s="199"/>
      <c r="C21" s="200">
        <f>ROUND((((1+C13+C14)*(1+C15)*(1+C16))/(1-(C17+C18))-1),4)</f>
        <v>0.27360000000000001</v>
      </c>
      <c r="D21" s="204">
        <v>0.21429999999999999</v>
      </c>
      <c r="E21" s="205">
        <v>0.2717</v>
      </c>
      <c r="F21" s="206">
        <v>0.3362</v>
      </c>
      <c r="G21" s="131"/>
      <c r="H21" s="131"/>
    </row>
    <row r="22" spans="1:8" ht="13.8" x14ac:dyDescent="0.25">
      <c r="A22" s="131"/>
      <c r="B22" s="131"/>
      <c r="C22" s="131"/>
      <c r="D22" s="131"/>
      <c r="E22" s="132"/>
      <c r="F22" s="131"/>
      <c r="G22" s="131"/>
      <c r="H22" s="131"/>
    </row>
    <row r="23" spans="1:8" ht="13.8" x14ac:dyDescent="0.25">
      <c r="A23" s="131"/>
      <c r="B23" s="131"/>
      <c r="C23" s="131"/>
      <c r="D23" s="131"/>
      <c r="E23" s="132"/>
      <c r="F23" s="131"/>
      <c r="G23" s="131"/>
      <c r="H23" s="131"/>
    </row>
    <row r="24" spans="1:8" ht="13.8" x14ac:dyDescent="0.25">
      <c r="A24" s="131"/>
      <c r="B24" s="131"/>
      <c r="C24" s="131"/>
      <c r="D24" s="131"/>
      <c r="E24" s="132"/>
      <c r="F24" s="131"/>
      <c r="G24" s="131"/>
      <c r="H24" s="131"/>
    </row>
    <row r="25" spans="1:8" ht="13.8" x14ac:dyDescent="0.25">
      <c r="A25" s="131"/>
      <c r="B25" s="131"/>
      <c r="C25" s="131"/>
      <c r="D25" s="131"/>
      <c r="E25" s="132"/>
      <c r="F25" s="131"/>
      <c r="G25" s="131"/>
      <c r="H25" s="131"/>
    </row>
  </sheetData>
  <mergeCells count="3">
    <mergeCell ref="B17:B18"/>
    <mergeCell ref="D11:F11"/>
    <mergeCell ref="A9:F9"/>
  </mergeCells>
  <pageMargins left="0.90551181102362199" right="0.5118110236220472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11" workbookViewId="0">
      <selection activeCell="C12" sqref="C12"/>
    </sheetView>
  </sheetViews>
  <sheetFormatPr defaultRowHeight="13.2" x14ac:dyDescent="0.25"/>
  <cols>
    <col min="1" max="1" width="41.88671875" bestFit="1" customWidth="1"/>
    <col min="2" max="2" width="5.5546875" bestFit="1" customWidth="1"/>
    <col min="4" max="4" width="9.6640625" bestFit="1" customWidth="1"/>
    <col min="5" max="5" width="8" style="110" bestFit="1" customWidth="1"/>
    <col min="6" max="6" width="9.6640625" bestFit="1" customWidth="1"/>
  </cols>
  <sheetData>
    <row r="1" spans="1:8" s="131" customFormat="1" ht="13.8" x14ac:dyDescent="0.25">
      <c r="A1" s="9" t="s">
        <v>173</v>
      </c>
      <c r="B1" s="6"/>
      <c r="C1" s="6"/>
      <c r="E1" s="132"/>
    </row>
    <row r="2" spans="1:8" s="131" customFormat="1" ht="13.8" x14ac:dyDescent="0.25">
      <c r="A2" s="126" t="s">
        <v>207</v>
      </c>
      <c r="B2" s="6"/>
      <c r="C2" s="6"/>
      <c r="E2" s="132"/>
    </row>
    <row r="3" spans="1:8" s="131" customFormat="1" ht="13.8" x14ac:dyDescent="0.25">
      <c r="A3" s="7" t="s">
        <v>174</v>
      </c>
      <c r="B3" s="6"/>
      <c r="C3" s="6"/>
      <c r="E3" s="132"/>
    </row>
    <row r="4" spans="1:8" s="131" customFormat="1" ht="13.8" x14ac:dyDescent="0.25">
      <c r="A4" s="7"/>
      <c r="B4" s="6"/>
      <c r="C4" s="6"/>
      <c r="E4" s="132"/>
    </row>
    <row r="5" spans="1:8" s="2" customFormat="1" ht="15.6" hidden="1" customHeight="1" x14ac:dyDescent="0.25">
      <c r="A5" s="257" t="s">
        <v>253</v>
      </c>
      <c r="B5" s="3"/>
      <c r="C5" s="3"/>
      <c r="D5" s="3"/>
      <c r="E5" s="3"/>
      <c r="F5" s="3"/>
      <c r="G5" s="4"/>
    </row>
    <row r="6" spans="1:8" s="2" customFormat="1" ht="16.5" customHeight="1" x14ac:dyDescent="0.25">
      <c r="A6" s="278" t="s">
        <v>265</v>
      </c>
      <c r="B6" s="3"/>
      <c r="C6" s="3"/>
      <c r="D6" s="4"/>
      <c r="E6" s="4"/>
      <c r="F6" s="4"/>
      <c r="G6" s="4"/>
    </row>
    <row r="7" spans="1:8" s="2" customFormat="1" ht="16.5" customHeight="1" x14ac:dyDescent="0.25">
      <c r="A7" s="278" t="s">
        <v>266</v>
      </c>
      <c r="B7" s="3"/>
      <c r="C7" s="3"/>
      <c r="D7" s="4"/>
      <c r="E7" s="4"/>
      <c r="F7" s="4"/>
      <c r="G7" s="4"/>
    </row>
    <row r="8" spans="1:8" s="131" customFormat="1" ht="14.4" thickBot="1" x14ac:dyDescent="0.3">
      <c r="B8" s="6"/>
      <c r="C8" s="6"/>
      <c r="E8" s="132"/>
    </row>
    <row r="9" spans="1:8" ht="15.6" x14ac:dyDescent="0.25">
      <c r="A9" s="460" t="s">
        <v>367</v>
      </c>
      <c r="B9" s="461"/>
      <c r="C9" s="461"/>
      <c r="D9" s="461"/>
      <c r="E9" s="461"/>
      <c r="F9" s="462"/>
    </row>
    <row r="10" spans="1:8" ht="16.2" thickBot="1" x14ac:dyDescent="0.3">
      <c r="A10" s="223"/>
      <c r="B10" s="224"/>
      <c r="C10" s="224"/>
      <c r="D10" s="224"/>
      <c r="E10" s="224"/>
      <c r="F10" s="225"/>
    </row>
    <row r="11" spans="1:8" ht="13.8" x14ac:dyDescent="0.25">
      <c r="A11" s="174"/>
      <c r="B11" s="6"/>
      <c r="C11" s="6"/>
      <c r="D11" s="457" t="s">
        <v>205</v>
      </c>
      <c r="E11" s="458"/>
      <c r="F11" s="459"/>
      <c r="G11" s="131"/>
      <c r="H11" s="131"/>
    </row>
    <row r="12" spans="1:8" ht="14.4" thickBot="1" x14ac:dyDescent="0.3">
      <c r="A12" s="173"/>
      <c r="B12" s="131"/>
      <c r="C12" s="131"/>
      <c r="D12" s="175" t="s">
        <v>161</v>
      </c>
      <c r="E12" s="176" t="s">
        <v>162</v>
      </c>
      <c r="F12" s="177" t="s">
        <v>163</v>
      </c>
      <c r="G12" s="131"/>
      <c r="H12" s="131"/>
    </row>
    <row r="13" spans="1:8" ht="13.8" x14ac:dyDescent="0.25">
      <c r="A13" s="178" t="s">
        <v>74</v>
      </c>
      <c r="B13" s="179" t="s">
        <v>75</v>
      </c>
      <c r="C13" s="180">
        <v>3.5000000000000003E-2</v>
      </c>
      <c r="D13" s="201">
        <v>2.9700000000000001E-2</v>
      </c>
      <c r="E13" s="202">
        <v>5.0799999999999998E-2</v>
      </c>
      <c r="F13" s="203">
        <v>6.2700000000000006E-2</v>
      </c>
      <c r="G13" s="131"/>
      <c r="H13" s="131"/>
    </row>
    <row r="14" spans="1:8" ht="13.8" x14ac:dyDescent="0.25">
      <c r="A14" s="182" t="s">
        <v>76</v>
      </c>
      <c r="B14" s="183" t="s">
        <v>77</v>
      </c>
      <c r="C14" s="184">
        <v>8.6E-3</v>
      </c>
      <c r="D14" s="201">
        <f>0.3%+0.56%</f>
        <v>8.6E-3</v>
      </c>
      <c r="E14" s="202">
        <f>0.48%+0.85%</f>
        <v>1.3299999999999999E-2</v>
      </c>
      <c r="F14" s="203">
        <f>0.82%+0.89%</f>
        <v>1.7099999999999997E-2</v>
      </c>
      <c r="G14" s="131"/>
      <c r="H14" s="131"/>
    </row>
    <row r="15" spans="1:8" ht="13.8" x14ac:dyDescent="0.25">
      <c r="A15" s="182" t="s">
        <v>78</v>
      </c>
      <c r="B15" s="183" t="s">
        <v>79</v>
      </c>
      <c r="C15" s="184">
        <v>5.5E-2</v>
      </c>
      <c r="D15" s="201">
        <v>7.7799999999999994E-2</v>
      </c>
      <c r="E15" s="202">
        <v>0.1085</v>
      </c>
      <c r="F15" s="203">
        <v>0.13550000000000001</v>
      </c>
      <c r="G15" s="131"/>
      <c r="H15" s="131"/>
    </row>
    <row r="16" spans="1:8" ht="13.8" x14ac:dyDescent="0.25">
      <c r="A16" s="182" t="s">
        <v>80</v>
      </c>
      <c r="B16" s="183" t="s">
        <v>81</v>
      </c>
      <c r="C16" s="185">
        <f>(1+E16)^(E17/252)-1</f>
        <v>2.6031494362050989E-3</v>
      </c>
      <c r="D16" s="201" t="s">
        <v>241</v>
      </c>
      <c r="E16" s="186">
        <v>0.14000000000000001</v>
      </c>
      <c r="F16" s="181"/>
      <c r="G16" s="131"/>
      <c r="H16" s="131"/>
    </row>
    <row r="17" spans="1:8" ht="13.8" x14ac:dyDescent="0.25">
      <c r="A17" s="182" t="s">
        <v>82</v>
      </c>
      <c r="B17" s="455" t="s">
        <v>83</v>
      </c>
      <c r="C17" s="184">
        <v>0</v>
      </c>
      <c r="D17" s="255" t="s">
        <v>164</v>
      </c>
      <c r="E17" s="187">
        <v>5</v>
      </c>
      <c r="F17" s="188"/>
      <c r="G17" s="131"/>
      <c r="H17" s="131"/>
    </row>
    <row r="18" spans="1:8" ht="14.4" thickBot="1" x14ac:dyDescent="0.3">
      <c r="A18" s="189" t="s">
        <v>309</v>
      </c>
      <c r="B18" s="456"/>
      <c r="C18" s="190">
        <v>3.6499999999999998E-2</v>
      </c>
      <c r="D18" s="171"/>
      <c r="E18" s="191"/>
      <c r="F18" s="188"/>
      <c r="G18" s="131"/>
      <c r="H18" s="131"/>
    </row>
    <row r="19" spans="1:8" ht="13.8" x14ac:dyDescent="0.25">
      <c r="A19" s="192" t="s">
        <v>84</v>
      </c>
      <c r="B19" s="193"/>
      <c r="C19" s="194"/>
      <c r="D19" s="171"/>
      <c r="E19" s="191"/>
      <c r="F19" s="188"/>
      <c r="G19" s="131"/>
      <c r="H19" s="131"/>
    </row>
    <row r="20" spans="1:8" ht="14.4" thickBot="1" x14ac:dyDescent="0.3">
      <c r="A20" s="195" t="s">
        <v>85</v>
      </c>
      <c r="B20" s="196"/>
      <c r="C20" s="197"/>
      <c r="D20" s="171"/>
      <c r="E20" s="191"/>
      <c r="F20" s="188"/>
      <c r="G20" s="131"/>
      <c r="H20" s="131"/>
    </row>
    <row r="21" spans="1:8" ht="14.4" thickBot="1" x14ac:dyDescent="0.3">
      <c r="A21" s="198" t="s">
        <v>86</v>
      </c>
      <c r="B21" s="199"/>
      <c r="C21" s="200">
        <f>ROUND((((1+C13+C14)*(1+C15)*(1+C16))/(1-(C17+C18))-1),4)</f>
        <v>0.1457</v>
      </c>
      <c r="D21" s="204">
        <v>0.21429999999999999</v>
      </c>
      <c r="E21" s="205">
        <v>0.2717</v>
      </c>
      <c r="F21" s="206">
        <v>0.3362</v>
      </c>
      <c r="G21" s="131"/>
      <c r="H21" s="131"/>
    </row>
    <row r="22" spans="1:8" ht="13.8" x14ac:dyDescent="0.25">
      <c r="A22" s="131"/>
      <c r="B22" s="131"/>
      <c r="C22" s="131"/>
      <c r="D22" s="131"/>
      <c r="E22" s="132"/>
      <c r="F22" s="131"/>
      <c r="G22" s="131"/>
      <c r="H22" s="131"/>
    </row>
    <row r="23" spans="1:8" ht="13.8" x14ac:dyDescent="0.25">
      <c r="A23" s="131"/>
      <c r="B23" s="131"/>
      <c r="C23" s="131"/>
      <c r="D23" s="131"/>
      <c r="E23" s="132"/>
      <c r="F23" s="131"/>
      <c r="G23" s="131"/>
      <c r="H23" s="131"/>
    </row>
    <row r="24" spans="1:8" ht="13.8" x14ac:dyDescent="0.25">
      <c r="A24" s="131"/>
      <c r="B24" s="131"/>
      <c r="C24" s="131"/>
      <c r="D24" s="131"/>
      <c r="E24" s="132"/>
      <c r="F24" s="131"/>
      <c r="G24" s="131"/>
      <c r="H24" s="131"/>
    </row>
    <row r="25" spans="1:8" ht="13.8" x14ac:dyDescent="0.25">
      <c r="A25" s="131"/>
      <c r="B25" s="131"/>
      <c r="C25" s="131"/>
      <c r="D25" s="131"/>
      <c r="E25" s="132"/>
      <c r="F25" s="131"/>
      <c r="G25" s="131"/>
      <c r="H25" s="131"/>
    </row>
  </sheetData>
  <mergeCells count="3">
    <mergeCell ref="A9:F9"/>
    <mergeCell ref="D11:F11"/>
    <mergeCell ref="B17:B18"/>
  </mergeCells>
  <pageMargins left="0.90551181102362199" right="0.5118110236220472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topLeftCell="A11" workbookViewId="0">
      <selection activeCell="C12" sqref="C12"/>
    </sheetView>
  </sheetViews>
  <sheetFormatPr defaultColWidth="8.88671875" defaultRowHeight="14.4" x14ac:dyDescent="0.3"/>
  <cols>
    <col min="1" max="1" width="41" style="345" customWidth="1"/>
    <col min="2" max="2" width="25" style="345" customWidth="1"/>
    <col min="3" max="3" width="11.44140625" style="345" bestFit="1" customWidth="1"/>
    <col min="4" max="4" width="8.88671875" style="345"/>
    <col min="5" max="6" width="11.33203125" style="345" bestFit="1" customWidth="1"/>
    <col min="7" max="16384" width="8.88671875" style="345"/>
  </cols>
  <sheetData>
    <row r="1" spans="1:2" ht="17.399999999999999" x14ac:dyDescent="0.3">
      <c r="A1" s="134" t="s">
        <v>402</v>
      </c>
    </row>
    <row r="2" spans="1:2" ht="15.6" x14ac:dyDescent="0.3">
      <c r="A2" s="344" t="s">
        <v>365</v>
      </c>
    </row>
    <row r="3" spans="1:2" ht="15.6" x14ac:dyDescent="0.3">
      <c r="A3" s="344"/>
    </row>
    <row r="4" spans="1:2" x14ac:dyDescent="0.3">
      <c r="A4" s="346"/>
    </row>
    <row r="5" spans="1:2" ht="15.6" x14ac:dyDescent="0.3">
      <c r="A5" s="407" t="s">
        <v>357</v>
      </c>
      <c r="B5" s="402"/>
    </row>
    <row r="6" spans="1:2" ht="18" x14ac:dyDescent="0.3">
      <c r="A6" s="403" t="s">
        <v>386</v>
      </c>
      <c r="B6" s="403" t="s">
        <v>387</v>
      </c>
    </row>
    <row r="7" spans="1:2" ht="18" x14ac:dyDescent="0.3">
      <c r="A7" s="404">
        <v>45658</v>
      </c>
      <c r="B7" s="405">
        <v>44.7</v>
      </c>
    </row>
    <row r="8" spans="1:2" ht="18" x14ac:dyDescent="0.3">
      <c r="A8" s="404">
        <v>45689</v>
      </c>
      <c r="B8" s="405">
        <v>64.099999999999994</v>
      </c>
    </row>
    <row r="9" spans="1:2" ht="18" x14ac:dyDescent="0.3">
      <c r="A9" s="404">
        <v>45717</v>
      </c>
      <c r="B9" s="405">
        <v>64.2</v>
      </c>
    </row>
    <row r="10" spans="1:2" ht="18" x14ac:dyDescent="0.3">
      <c r="A10" s="404">
        <v>45748</v>
      </c>
      <c r="B10" s="405">
        <v>58.71</v>
      </c>
    </row>
    <row r="11" spans="1:2" ht="18" x14ac:dyDescent="0.3">
      <c r="A11" s="404">
        <v>45778</v>
      </c>
      <c r="B11" s="405">
        <v>67</v>
      </c>
    </row>
    <row r="12" spans="1:2" ht="18" x14ac:dyDescent="0.3">
      <c r="A12" s="404">
        <v>45809</v>
      </c>
      <c r="B12" s="405">
        <v>72.3</v>
      </c>
    </row>
    <row r="13" spans="1:2" ht="18" x14ac:dyDescent="0.3">
      <c r="A13" s="404">
        <v>45839</v>
      </c>
      <c r="B13" s="405">
        <v>68.400000000000006</v>
      </c>
    </row>
    <row r="14" spans="1:2" ht="18" x14ac:dyDescent="0.3">
      <c r="A14" s="404">
        <v>45992</v>
      </c>
      <c r="B14" s="405">
        <v>93.61</v>
      </c>
    </row>
    <row r="15" spans="1:2" ht="18" x14ac:dyDescent="0.3">
      <c r="A15" s="404">
        <v>46023</v>
      </c>
      <c r="B15" s="405">
        <v>77.17</v>
      </c>
    </row>
    <row r="16" spans="1:2" ht="18" x14ac:dyDescent="0.3">
      <c r="A16" s="404">
        <v>46054</v>
      </c>
      <c r="B16" s="405">
        <v>65.599999999999994</v>
      </c>
    </row>
    <row r="17" spans="1:2" ht="18" x14ac:dyDescent="0.3">
      <c r="A17" s="404"/>
      <c r="B17" s="405"/>
    </row>
    <row r="18" spans="1:2" ht="21.75" customHeight="1" x14ac:dyDescent="0.3">
      <c r="A18" s="406" t="s">
        <v>388</v>
      </c>
      <c r="B18" s="405">
        <f>SUM(B7:B17)</f>
        <v>675.79000000000008</v>
      </c>
    </row>
    <row r="19" spans="1:2" x14ac:dyDescent="0.3">
      <c r="A19" s="347"/>
      <c r="B19" s="347"/>
    </row>
    <row r="20" spans="1:2" ht="18" x14ac:dyDescent="0.35">
      <c r="A20" s="396" t="s">
        <v>375</v>
      </c>
      <c r="B20" s="399">
        <v>10</v>
      </c>
    </row>
    <row r="21" spans="1:2" ht="18" x14ac:dyDescent="0.35">
      <c r="A21" s="397" t="s">
        <v>389</v>
      </c>
      <c r="B21" s="400">
        <f>B18/B20</f>
        <v>67.579000000000008</v>
      </c>
    </row>
    <row r="22" spans="1:2" ht="15.6" x14ac:dyDescent="0.3">
      <c r="A22" s="398"/>
      <c r="B22" s="398"/>
    </row>
    <row r="23" spans="1:2" ht="18" x14ac:dyDescent="0.35">
      <c r="A23" s="397" t="s">
        <v>408</v>
      </c>
      <c r="B23" s="401">
        <f>B21*0.25</f>
        <v>16.894750000000002</v>
      </c>
    </row>
    <row r="24" spans="1:2" ht="18" x14ac:dyDescent="0.35">
      <c r="A24" s="397" t="s">
        <v>403</v>
      </c>
      <c r="B24" s="401">
        <f>B23*0.25</f>
        <v>4.2236875000000005</v>
      </c>
    </row>
    <row r="25" spans="1:2" ht="18" x14ac:dyDescent="0.35">
      <c r="A25" s="397" t="s">
        <v>427</v>
      </c>
      <c r="B25" s="401">
        <f>B21+B24</f>
        <v>71.802687500000005</v>
      </c>
    </row>
    <row r="28" spans="1:2" x14ac:dyDescent="0.3">
      <c r="B28" s="419"/>
    </row>
    <row r="30" spans="1:2" x14ac:dyDescent="0.3">
      <c r="B30" s="419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topLeftCell="A11" workbookViewId="0">
      <selection activeCell="C12" sqref="C12"/>
    </sheetView>
  </sheetViews>
  <sheetFormatPr defaultColWidth="8.88671875" defaultRowHeight="14.4" x14ac:dyDescent="0.3"/>
  <cols>
    <col min="1" max="1" width="8.88671875" style="264" customWidth="1"/>
    <col min="2" max="2" width="10.5546875" style="264" customWidth="1"/>
    <col min="3" max="3" width="14.44140625" style="264" customWidth="1"/>
    <col min="4" max="4" width="8.33203125" style="264" customWidth="1"/>
    <col min="5" max="5" width="10.44140625" style="264" customWidth="1"/>
    <col min="6" max="6" width="8.109375" style="264" bestFit="1" customWidth="1"/>
    <col min="7" max="7" width="8" style="264" bestFit="1" customWidth="1"/>
    <col min="8" max="8" width="6" style="264" customWidth="1"/>
    <col min="9" max="9" width="8.88671875" style="264" hidden="1" customWidth="1"/>
    <col min="10" max="16384" width="8.88671875" style="264"/>
  </cols>
  <sheetData>
    <row r="1" spans="1:11" ht="17.399999999999999" x14ac:dyDescent="0.3">
      <c r="A1" s="134" t="s">
        <v>392</v>
      </c>
    </row>
    <row r="2" spans="1:11" x14ac:dyDescent="0.3">
      <c r="A2" s="263" t="s">
        <v>348</v>
      </c>
    </row>
    <row r="3" spans="1:11" ht="15" thickBot="1" x14ac:dyDescent="0.35">
      <c r="A3" s="263" t="s">
        <v>407</v>
      </c>
    </row>
    <row r="4" spans="1:11" ht="29.4" thickBot="1" x14ac:dyDescent="0.35">
      <c r="A4" s="349" t="s">
        <v>320</v>
      </c>
      <c r="B4" s="350" t="s">
        <v>338</v>
      </c>
      <c r="C4" s="350" t="s">
        <v>272</v>
      </c>
      <c r="D4" s="353" t="s">
        <v>270</v>
      </c>
      <c r="E4" s="350" t="s">
        <v>271</v>
      </c>
      <c r="F4" s="350" t="s">
        <v>273</v>
      </c>
      <c r="G4" s="350" t="s">
        <v>274</v>
      </c>
      <c r="H4" s="354" t="s">
        <v>335</v>
      </c>
      <c r="I4" s="348"/>
    </row>
    <row r="5" spans="1:11" x14ac:dyDescent="0.3">
      <c r="A5" s="463" t="s">
        <v>413</v>
      </c>
      <c r="B5" s="465" t="s">
        <v>411</v>
      </c>
      <c r="C5" s="465" t="s">
        <v>412</v>
      </c>
      <c r="D5" s="351">
        <v>2</v>
      </c>
      <c r="E5" s="378" t="s">
        <v>347</v>
      </c>
      <c r="F5" s="376">
        <v>0.20833333333333334</v>
      </c>
      <c r="G5" s="376">
        <v>0.52083333333333337</v>
      </c>
      <c r="H5" s="376">
        <v>0.27083333333333331</v>
      </c>
      <c r="I5" s="423">
        <f>G5-F5</f>
        <v>0.3125</v>
      </c>
      <c r="J5" s="394"/>
    </row>
    <row r="6" spans="1:11" ht="15" thickBot="1" x14ac:dyDescent="0.35">
      <c r="A6" s="464"/>
      <c r="B6" s="466"/>
      <c r="C6" s="466"/>
      <c r="D6" s="352">
        <v>1</v>
      </c>
      <c r="E6" s="379" t="s">
        <v>45</v>
      </c>
      <c r="F6" s="377">
        <v>0.20833333333333334</v>
      </c>
      <c r="G6" s="377">
        <v>0.625</v>
      </c>
      <c r="H6" s="377">
        <v>0.375</v>
      </c>
      <c r="I6" s="423">
        <f>G6-F6</f>
        <v>0.41666666666666663</v>
      </c>
      <c r="J6" s="395"/>
      <c r="K6" s="394"/>
    </row>
    <row r="7" spans="1:11" x14ac:dyDescent="0.3">
      <c r="A7" s="413"/>
      <c r="B7" s="414"/>
      <c r="C7" s="415"/>
      <c r="D7" s="416"/>
      <c r="E7" s="417"/>
      <c r="F7" s="418"/>
      <c r="G7" s="418"/>
      <c r="H7" s="418"/>
      <c r="I7" s="348"/>
      <c r="J7" s="395"/>
      <c r="K7" s="395"/>
    </row>
    <row r="8" spans="1:11" x14ac:dyDescent="0.3">
      <c r="A8" s="263" t="s">
        <v>414</v>
      </c>
    </row>
    <row r="9" spans="1:11" x14ac:dyDescent="0.3">
      <c r="A9" s="266" t="s">
        <v>275</v>
      </c>
      <c r="B9" s="267"/>
      <c r="C9" s="267"/>
      <c r="D9" s="267"/>
      <c r="E9" s="267"/>
      <c r="F9" s="267"/>
      <c r="G9" s="307">
        <v>6.5</v>
      </c>
      <c r="J9" s="395"/>
      <c r="K9" s="395"/>
    </row>
    <row r="10" spans="1:11" x14ac:dyDescent="0.3">
      <c r="A10" s="266" t="s">
        <v>276</v>
      </c>
      <c r="B10" s="267"/>
      <c r="C10" s="267"/>
      <c r="D10" s="267"/>
      <c r="E10" s="267"/>
      <c r="F10" s="267"/>
      <c r="G10" s="268">
        <v>4</v>
      </c>
      <c r="J10" s="395"/>
      <c r="K10" s="395"/>
    </row>
    <row r="11" spans="1:11" x14ac:dyDescent="0.3">
      <c r="A11" s="266" t="s">
        <v>277</v>
      </c>
      <c r="B11" s="267"/>
      <c r="C11" s="267"/>
      <c r="D11" s="267"/>
      <c r="E11" s="267"/>
      <c r="F11" s="267"/>
      <c r="G11" s="307">
        <f>G9*G10</f>
        <v>26</v>
      </c>
      <c r="J11" s="395"/>
      <c r="K11" s="395"/>
    </row>
    <row r="12" spans="1:11" x14ac:dyDescent="0.3">
      <c r="A12" s="266" t="s">
        <v>278</v>
      </c>
      <c r="B12" s="267"/>
      <c r="C12" s="267"/>
      <c r="D12" s="267"/>
      <c r="E12" s="267"/>
      <c r="F12" s="267"/>
      <c r="G12" s="268">
        <v>6</v>
      </c>
      <c r="J12" s="408"/>
      <c r="K12" s="295"/>
    </row>
    <row r="13" spans="1:11" x14ac:dyDescent="0.3">
      <c r="A13" s="266" t="s">
        <v>279</v>
      </c>
      <c r="B13" s="267"/>
      <c r="C13" s="267"/>
      <c r="D13" s="267"/>
      <c r="E13" s="267"/>
      <c r="F13" s="267"/>
      <c r="G13" s="268">
        <v>7</v>
      </c>
    </row>
    <row r="14" spans="1:11" x14ac:dyDescent="0.3">
      <c r="A14" s="266" t="s">
        <v>280</v>
      </c>
      <c r="B14" s="267"/>
      <c r="C14" s="267"/>
      <c r="D14" s="267"/>
      <c r="E14" s="267"/>
      <c r="F14" s="267"/>
      <c r="G14" s="275">
        <f>G11/G12</f>
        <v>4.333333333333333</v>
      </c>
      <c r="K14" s="408"/>
    </row>
    <row r="15" spans="1:11" x14ac:dyDescent="0.3">
      <c r="A15" s="266" t="s">
        <v>281</v>
      </c>
      <c r="B15" s="267"/>
      <c r="C15" s="267"/>
      <c r="D15" s="267"/>
      <c r="E15" s="267"/>
      <c r="F15" s="267"/>
      <c r="G15" s="268">
        <v>30</v>
      </c>
      <c r="K15" s="411"/>
    </row>
    <row r="16" spans="1:11" x14ac:dyDescent="0.3">
      <c r="A16" s="269" t="s">
        <v>282</v>
      </c>
      <c r="B16" s="270"/>
      <c r="C16" s="270"/>
      <c r="D16" s="270"/>
      <c r="E16" s="270"/>
      <c r="F16" s="270"/>
      <c r="G16" s="355">
        <f>G14*G15</f>
        <v>130</v>
      </c>
    </row>
    <row r="17" spans="1:7" x14ac:dyDescent="0.3">
      <c r="A17" s="269" t="s">
        <v>284</v>
      </c>
      <c r="B17" s="270"/>
      <c r="C17" s="270"/>
      <c r="D17" s="270"/>
      <c r="E17" s="270"/>
      <c r="F17" s="270"/>
      <c r="G17" s="265">
        <v>220</v>
      </c>
    </row>
    <row r="18" spans="1:7" x14ac:dyDescent="0.3">
      <c r="A18" s="269" t="s">
        <v>285</v>
      </c>
      <c r="B18" s="270"/>
      <c r="C18" s="270"/>
      <c r="D18" s="270"/>
      <c r="E18" s="270"/>
      <c r="F18" s="270"/>
      <c r="G18" s="271">
        <f>G16/G17</f>
        <v>0.59090909090909094</v>
      </c>
    </row>
    <row r="20" spans="1:7" x14ac:dyDescent="0.3">
      <c r="A20" s="263" t="s">
        <v>415</v>
      </c>
    </row>
    <row r="21" spans="1:7" x14ac:dyDescent="0.3">
      <c r="A21" s="266" t="s">
        <v>283</v>
      </c>
      <c r="B21" s="267"/>
      <c r="C21" s="267"/>
      <c r="D21" s="267"/>
      <c r="E21" s="267"/>
      <c r="F21" s="267"/>
      <c r="G21" s="307">
        <v>9</v>
      </c>
    </row>
    <row r="22" spans="1:7" x14ac:dyDescent="0.3">
      <c r="A22" s="266" t="s">
        <v>276</v>
      </c>
      <c r="B22" s="267"/>
      <c r="C22" s="267"/>
      <c r="D22" s="267"/>
      <c r="E22" s="267"/>
      <c r="F22" s="267"/>
      <c r="G22" s="268">
        <v>4</v>
      </c>
    </row>
    <row r="23" spans="1:7" x14ac:dyDescent="0.3">
      <c r="A23" s="266" t="s">
        <v>277</v>
      </c>
      <c r="B23" s="267"/>
      <c r="C23" s="267"/>
      <c r="D23" s="267"/>
      <c r="E23" s="267"/>
      <c r="F23" s="267"/>
      <c r="G23" s="307">
        <f>G21*G22</f>
        <v>36</v>
      </c>
    </row>
    <row r="24" spans="1:7" x14ac:dyDescent="0.3">
      <c r="A24" s="266" t="s">
        <v>278</v>
      </c>
      <c r="B24" s="267"/>
      <c r="C24" s="267"/>
      <c r="D24" s="267"/>
      <c r="E24" s="267"/>
      <c r="F24" s="267"/>
      <c r="G24" s="268">
        <v>6</v>
      </c>
    </row>
    <row r="25" spans="1:7" x14ac:dyDescent="0.3">
      <c r="A25" s="266" t="s">
        <v>279</v>
      </c>
      <c r="B25" s="267"/>
      <c r="C25" s="267"/>
      <c r="D25" s="267"/>
      <c r="E25" s="267"/>
      <c r="F25" s="267"/>
      <c r="G25" s="268">
        <v>7</v>
      </c>
    </row>
    <row r="26" spans="1:7" x14ac:dyDescent="0.3">
      <c r="A26" s="266" t="s">
        <v>280</v>
      </c>
      <c r="B26" s="267"/>
      <c r="C26" s="267"/>
      <c r="D26" s="267"/>
      <c r="E26" s="267"/>
      <c r="F26" s="267"/>
      <c r="G26" s="275">
        <f>G23/G24</f>
        <v>6</v>
      </c>
    </row>
    <row r="27" spans="1:7" x14ac:dyDescent="0.3">
      <c r="A27" s="266" t="s">
        <v>281</v>
      </c>
      <c r="B27" s="267"/>
      <c r="C27" s="267"/>
      <c r="D27" s="267"/>
      <c r="E27" s="267"/>
      <c r="F27" s="267"/>
      <c r="G27" s="268">
        <v>30</v>
      </c>
    </row>
    <row r="28" spans="1:7" x14ac:dyDescent="0.3">
      <c r="A28" s="269" t="s">
        <v>282</v>
      </c>
      <c r="B28" s="270"/>
      <c r="C28" s="270"/>
      <c r="D28" s="270"/>
      <c r="E28" s="270"/>
      <c r="F28" s="270"/>
      <c r="G28" s="276">
        <f>G26*G27</f>
        <v>180</v>
      </c>
    </row>
    <row r="29" spans="1:7" x14ac:dyDescent="0.3">
      <c r="A29" s="269" t="s">
        <v>284</v>
      </c>
      <c r="B29" s="270"/>
      <c r="C29" s="270"/>
      <c r="D29" s="270"/>
      <c r="E29" s="270"/>
      <c r="F29" s="270"/>
      <c r="G29" s="265">
        <v>220</v>
      </c>
    </row>
    <row r="30" spans="1:7" x14ac:dyDescent="0.3">
      <c r="A30" s="269" t="s">
        <v>285</v>
      </c>
      <c r="B30" s="270"/>
      <c r="C30" s="270"/>
      <c r="D30" s="270"/>
      <c r="E30" s="270"/>
      <c r="F30" s="270"/>
      <c r="G30" s="271">
        <f>G28/G29</f>
        <v>0.81818181818181823</v>
      </c>
    </row>
  </sheetData>
  <mergeCells count="3">
    <mergeCell ref="A5:A6"/>
    <mergeCell ref="B5:B6"/>
    <mergeCell ref="C5:C6"/>
  </mergeCells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52"/>
  <sheetViews>
    <sheetView workbookViewId="0">
      <selection activeCell="C12" sqref="C12"/>
    </sheetView>
  </sheetViews>
  <sheetFormatPr defaultColWidth="8.88671875" defaultRowHeight="14.4" x14ac:dyDescent="0.3"/>
  <cols>
    <col min="1" max="1" width="3.109375" style="356" customWidth="1"/>
    <col min="2" max="2" width="16.44140625" style="356" customWidth="1"/>
    <col min="3" max="3" width="14.33203125" style="356" customWidth="1"/>
    <col min="4" max="4" width="8.88671875" style="356"/>
    <col min="5" max="5" width="7.109375" style="356" customWidth="1"/>
    <col min="6" max="6" width="16.6640625" style="356" customWidth="1"/>
    <col min="7" max="7" width="8.88671875" style="356"/>
    <col min="8" max="8" width="5.33203125" style="356" customWidth="1"/>
    <col min="9" max="9" width="17.33203125" style="356" customWidth="1"/>
    <col min="10" max="10" width="14.33203125" style="356" customWidth="1"/>
    <col min="11" max="11" width="8.88671875" style="356"/>
    <col min="12" max="12" width="7.109375" style="356" customWidth="1"/>
    <col min="13" max="13" width="16.6640625" style="356" customWidth="1"/>
    <col min="14" max="14" width="8.88671875" style="356"/>
    <col min="15" max="15" width="5.109375" style="356" customWidth="1"/>
    <col min="16" max="16" width="17.33203125" style="356" customWidth="1"/>
    <col min="17" max="17" width="14.33203125" style="356" customWidth="1"/>
    <col min="18" max="18" width="8.88671875" style="356"/>
    <col min="19" max="19" width="7.109375" style="356" customWidth="1"/>
    <col min="20" max="20" width="16.6640625" style="356" customWidth="1"/>
    <col min="21" max="21" width="8.88671875" style="356"/>
    <col min="22" max="23" width="4.88671875" style="356" customWidth="1"/>
    <col min="24" max="24" width="9" style="356" customWidth="1"/>
    <col min="25" max="25" width="10.109375" style="356" customWidth="1"/>
    <col min="26" max="26" width="25.44140625" style="356" customWidth="1"/>
    <col min="27" max="27" width="6.109375" style="356" customWidth="1"/>
    <col min="28" max="28" width="5.88671875" style="356" customWidth="1"/>
    <col min="29" max="29" width="15.5546875" style="356" customWidth="1"/>
    <col min="30" max="30" width="4.88671875" style="356" bestFit="1" customWidth="1"/>
    <col min="31" max="16384" width="8.88671875" style="356"/>
  </cols>
  <sheetData>
    <row r="1" spans="2:31" ht="15.75" customHeight="1" thickBot="1" x14ac:dyDescent="0.35"/>
    <row r="2" spans="2:31" ht="15" thickBot="1" x14ac:dyDescent="0.35">
      <c r="B2" s="484" t="s">
        <v>399</v>
      </c>
      <c r="C2" s="485"/>
      <c r="D2" s="485"/>
      <c r="E2" s="485"/>
      <c r="F2" s="485"/>
      <c r="G2" s="486"/>
      <c r="I2" s="484" t="s">
        <v>400</v>
      </c>
      <c r="J2" s="485"/>
      <c r="K2" s="485"/>
      <c r="L2" s="485"/>
      <c r="M2" s="485"/>
      <c r="N2" s="486"/>
      <c r="P2" s="484" t="s">
        <v>396</v>
      </c>
      <c r="Q2" s="485"/>
      <c r="R2" s="485"/>
      <c r="S2" s="485"/>
      <c r="T2" s="485"/>
      <c r="U2" s="486"/>
      <c r="V2" s="357"/>
      <c r="W2" s="357"/>
      <c r="X2" s="522" t="s">
        <v>333</v>
      </c>
      <c r="Y2" s="523"/>
      <c r="Z2" s="523"/>
      <c r="AA2" s="523"/>
      <c r="AB2" s="523"/>
      <c r="AC2" s="523"/>
      <c r="AD2" s="524"/>
    </row>
    <row r="3" spans="2:31" ht="15.75" customHeight="1" thickBot="1" x14ac:dyDescent="0.35">
      <c r="B3" s="542" t="s">
        <v>393</v>
      </c>
      <c r="C3" s="468"/>
      <c r="D3" s="468"/>
      <c r="E3" s="468"/>
      <c r="F3" s="468"/>
      <c r="G3" s="469"/>
      <c r="I3" s="542" t="s">
        <v>398</v>
      </c>
      <c r="J3" s="468"/>
      <c r="K3" s="468"/>
      <c r="L3" s="468"/>
      <c r="M3" s="468"/>
      <c r="N3" s="469"/>
      <c r="P3" s="542" t="s">
        <v>401</v>
      </c>
      <c r="Q3" s="468"/>
      <c r="R3" s="468"/>
      <c r="S3" s="468"/>
      <c r="T3" s="468"/>
      <c r="U3" s="469"/>
      <c r="V3" s="357"/>
      <c r="W3" s="357"/>
      <c r="X3" s="525"/>
      <c r="Y3" s="526"/>
      <c r="Z3" s="526"/>
      <c r="AA3" s="526"/>
      <c r="AB3" s="526"/>
      <c r="AC3" s="526"/>
      <c r="AD3" s="527"/>
    </row>
    <row r="4" spans="2:31" ht="15" customHeight="1" thickBot="1" x14ac:dyDescent="0.35">
      <c r="B4" s="373" t="s">
        <v>304</v>
      </c>
      <c r="C4" s="374" t="s">
        <v>376</v>
      </c>
      <c r="D4" s="543" t="s">
        <v>288</v>
      </c>
      <c r="E4" s="544"/>
      <c r="F4" s="374" t="s">
        <v>286</v>
      </c>
      <c r="G4" s="375" t="s">
        <v>220</v>
      </c>
      <c r="I4" s="373" t="s">
        <v>304</v>
      </c>
      <c r="J4" s="374" t="s">
        <v>376</v>
      </c>
      <c r="K4" s="543" t="s">
        <v>288</v>
      </c>
      <c r="L4" s="544"/>
      <c r="M4" s="374" t="s">
        <v>286</v>
      </c>
      <c r="N4" s="375" t="s">
        <v>220</v>
      </c>
      <c r="P4" s="373" t="s">
        <v>304</v>
      </c>
      <c r="Q4" s="374" t="s">
        <v>376</v>
      </c>
      <c r="R4" s="543" t="s">
        <v>288</v>
      </c>
      <c r="S4" s="544"/>
      <c r="T4" s="374" t="s">
        <v>286</v>
      </c>
      <c r="U4" s="375" t="s">
        <v>220</v>
      </c>
      <c r="V4" s="357"/>
      <c r="W4" s="357"/>
      <c r="X4" s="519" t="s">
        <v>319</v>
      </c>
      <c r="Y4" s="520"/>
      <c r="Z4" s="520"/>
      <c r="AA4" s="520"/>
      <c r="AB4" s="520"/>
      <c r="AC4" s="520"/>
      <c r="AD4" s="521"/>
    </row>
    <row r="5" spans="2:31" x14ac:dyDescent="0.3">
      <c r="B5" s="358" t="s">
        <v>290</v>
      </c>
      <c r="C5" s="287"/>
      <c r="D5" s="470" t="s">
        <v>291</v>
      </c>
      <c r="E5" s="471"/>
      <c r="F5" s="359">
        <v>3709.31</v>
      </c>
      <c r="G5" s="387" t="s">
        <v>289</v>
      </c>
      <c r="I5" s="358" t="s">
        <v>290</v>
      </c>
      <c r="J5" s="287"/>
      <c r="K5" s="470" t="s">
        <v>291</v>
      </c>
      <c r="L5" s="471"/>
      <c r="M5" s="359">
        <v>5229.78</v>
      </c>
      <c r="N5" s="387" t="s">
        <v>289</v>
      </c>
      <c r="P5" s="358" t="s">
        <v>290</v>
      </c>
      <c r="Q5" s="287"/>
      <c r="R5" s="470" t="s">
        <v>291</v>
      </c>
      <c r="S5" s="471"/>
      <c r="T5" s="359">
        <v>4640.2700000000004</v>
      </c>
      <c r="U5" s="387" t="s">
        <v>289</v>
      </c>
      <c r="V5" s="357"/>
      <c r="W5" s="357"/>
      <c r="X5" s="537" t="s">
        <v>320</v>
      </c>
      <c r="Y5" s="528" t="s">
        <v>362</v>
      </c>
      <c r="Z5" s="538" t="s">
        <v>302</v>
      </c>
      <c r="AA5" s="538" t="s">
        <v>303</v>
      </c>
      <c r="AB5" s="538"/>
      <c r="AC5" s="538" t="s">
        <v>385</v>
      </c>
      <c r="AD5" s="530" t="s">
        <v>287</v>
      </c>
      <c r="AE5" s="357"/>
    </row>
    <row r="6" spans="2:31" x14ac:dyDescent="0.3">
      <c r="B6" s="358" t="s">
        <v>292</v>
      </c>
      <c r="C6" s="287"/>
      <c r="D6" s="470" t="s">
        <v>293</v>
      </c>
      <c r="E6" s="471"/>
      <c r="F6" s="359">
        <v>14792.64</v>
      </c>
      <c r="G6" s="387" t="s">
        <v>289</v>
      </c>
      <c r="I6" s="358" t="s">
        <v>292</v>
      </c>
      <c r="J6" s="287"/>
      <c r="K6" s="470" t="s">
        <v>293</v>
      </c>
      <c r="L6" s="471"/>
      <c r="M6" s="359">
        <v>7281.71</v>
      </c>
      <c r="N6" s="387" t="s">
        <v>289</v>
      </c>
      <c r="P6" s="358" t="s">
        <v>292</v>
      </c>
      <c r="Q6" s="287"/>
      <c r="R6" s="470" t="s">
        <v>293</v>
      </c>
      <c r="S6" s="471"/>
      <c r="T6" s="359">
        <v>14792.64</v>
      </c>
      <c r="U6" s="387" t="s">
        <v>289</v>
      </c>
      <c r="V6" s="380"/>
      <c r="W6" s="380"/>
      <c r="X6" s="511"/>
      <c r="Y6" s="529"/>
      <c r="Z6" s="513"/>
      <c r="AA6" s="536"/>
      <c r="AB6" s="536"/>
      <c r="AC6" s="513"/>
      <c r="AD6" s="515"/>
      <c r="AE6" s="357"/>
    </row>
    <row r="7" spans="2:31" x14ac:dyDescent="0.3">
      <c r="B7" s="358" t="s">
        <v>294</v>
      </c>
      <c r="C7" s="287"/>
      <c r="D7" s="470" t="s">
        <v>295</v>
      </c>
      <c r="E7" s="471"/>
      <c r="F7" s="359">
        <v>3110.44</v>
      </c>
      <c r="G7" s="387" t="s">
        <v>289</v>
      </c>
      <c r="I7" s="358" t="s">
        <v>294</v>
      </c>
      <c r="J7" s="287"/>
      <c r="K7" s="470" t="s">
        <v>295</v>
      </c>
      <c r="L7" s="471"/>
      <c r="M7" s="359">
        <v>10822.28</v>
      </c>
      <c r="N7" s="387" t="s">
        <v>289</v>
      </c>
      <c r="P7" s="358" t="s">
        <v>294</v>
      </c>
      <c r="Q7" s="287"/>
      <c r="R7" s="470" t="s">
        <v>295</v>
      </c>
      <c r="S7" s="471"/>
      <c r="T7" s="359">
        <v>8028.43</v>
      </c>
      <c r="U7" s="387" t="s">
        <v>289</v>
      </c>
      <c r="X7" s="361" t="s">
        <v>321</v>
      </c>
      <c r="Y7" s="381" t="s">
        <v>337</v>
      </c>
      <c r="Z7" s="362" t="s">
        <v>397</v>
      </c>
      <c r="AA7" s="363">
        <v>1</v>
      </c>
      <c r="AB7" s="364" t="s">
        <v>305</v>
      </c>
      <c r="AC7" s="365">
        <f>F24</f>
        <v>144.70594</v>
      </c>
      <c r="AD7" s="366" t="s">
        <v>18</v>
      </c>
    </row>
    <row r="8" spans="2:31" x14ac:dyDescent="0.3">
      <c r="B8" s="358" t="s">
        <v>296</v>
      </c>
      <c r="C8" s="287"/>
      <c r="D8" s="470" t="s">
        <v>297</v>
      </c>
      <c r="E8" s="471"/>
      <c r="F8" s="359">
        <v>3502.01</v>
      </c>
      <c r="G8" s="387" t="s">
        <v>289</v>
      </c>
      <c r="I8" s="358" t="s">
        <v>296</v>
      </c>
      <c r="J8" s="287"/>
      <c r="K8" s="470" t="s">
        <v>297</v>
      </c>
      <c r="L8" s="471"/>
      <c r="M8" s="359">
        <v>3502.01</v>
      </c>
      <c r="N8" s="387" t="s">
        <v>289</v>
      </c>
      <c r="P8" s="358" t="s">
        <v>296</v>
      </c>
      <c r="Q8" s="287"/>
      <c r="R8" s="470" t="s">
        <v>297</v>
      </c>
      <c r="S8" s="471"/>
      <c r="T8" s="359">
        <v>10822.28</v>
      </c>
      <c r="U8" s="387" t="s">
        <v>289</v>
      </c>
      <c r="X8" s="539"/>
      <c r="Y8" s="540"/>
      <c r="Z8" s="540"/>
      <c r="AA8" s="540"/>
      <c r="AB8" s="540"/>
      <c r="AC8" s="540"/>
      <c r="AD8" s="541"/>
    </row>
    <row r="9" spans="2:31" x14ac:dyDescent="0.3">
      <c r="B9" s="358" t="s">
        <v>298</v>
      </c>
      <c r="C9" s="287"/>
      <c r="D9" s="470" t="s">
        <v>299</v>
      </c>
      <c r="E9" s="471"/>
      <c r="F9" s="359">
        <v>4429.7299999999996</v>
      </c>
      <c r="G9" s="387" t="s">
        <v>289</v>
      </c>
      <c r="I9" s="358" t="s">
        <v>298</v>
      </c>
      <c r="J9" s="287"/>
      <c r="K9" s="470" t="s">
        <v>299</v>
      </c>
      <c r="L9" s="471"/>
      <c r="M9" s="359">
        <v>4429.7299999999996</v>
      </c>
      <c r="N9" s="387" t="s">
        <v>289</v>
      </c>
      <c r="P9" s="358" t="s">
        <v>298</v>
      </c>
      <c r="Q9" s="287"/>
      <c r="R9" s="470" t="s">
        <v>299</v>
      </c>
      <c r="S9" s="471"/>
      <c r="T9" s="359">
        <v>3502.01</v>
      </c>
      <c r="U9" s="387" t="s">
        <v>289</v>
      </c>
      <c r="X9" s="361" t="s">
        <v>361</v>
      </c>
      <c r="Y9" s="381" t="s">
        <v>337</v>
      </c>
      <c r="Z9" s="362" t="s">
        <v>409</v>
      </c>
      <c r="AA9" s="363">
        <v>2</v>
      </c>
      <c r="AB9" s="364" t="s">
        <v>305</v>
      </c>
      <c r="AC9" s="365">
        <f>M24</f>
        <v>150.77386000000001</v>
      </c>
      <c r="AD9" s="366" t="s">
        <v>18</v>
      </c>
    </row>
    <row r="10" spans="2:31" x14ac:dyDescent="0.3">
      <c r="B10" s="358" t="s">
        <v>300</v>
      </c>
      <c r="C10" s="287"/>
      <c r="D10" s="470" t="s">
        <v>301</v>
      </c>
      <c r="E10" s="471"/>
      <c r="F10" s="359">
        <v>7608.45</v>
      </c>
      <c r="G10" s="387" t="s">
        <v>289</v>
      </c>
      <c r="I10" s="358" t="s">
        <v>300</v>
      </c>
      <c r="J10" s="287"/>
      <c r="K10" s="470" t="s">
        <v>301</v>
      </c>
      <c r="L10" s="471"/>
      <c r="M10" s="359">
        <v>7608.45</v>
      </c>
      <c r="N10" s="387" t="s">
        <v>289</v>
      </c>
      <c r="P10" s="358" t="s">
        <v>300</v>
      </c>
      <c r="Q10" s="287"/>
      <c r="R10" s="470" t="s">
        <v>301</v>
      </c>
      <c r="S10" s="471"/>
      <c r="T10" s="359">
        <v>4429.7299999999996</v>
      </c>
      <c r="U10" s="387" t="s">
        <v>289</v>
      </c>
      <c r="X10" s="539"/>
      <c r="Y10" s="540"/>
      <c r="Z10" s="540"/>
      <c r="AA10" s="540"/>
      <c r="AB10" s="540"/>
      <c r="AC10" s="540"/>
      <c r="AD10" s="541"/>
    </row>
    <row r="11" spans="2:31" x14ac:dyDescent="0.3">
      <c r="B11" s="358" t="s">
        <v>368</v>
      </c>
      <c r="C11" s="287"/>
      <c r="D11" s="470" t="s">
        <v>370</v>
      </c>
      <c r="E11" s="471"/>
      <c r="F11" s="359">
        <v>7328.59</v>
      </c>
      <c r="G11" s="387" t="s">
        <v>289</v>
      </c>
      <c r="I11" s="358" t="s">
        <v>368</v>
      </c>
      <c r="J11" s="287"/>
      <c r="K11" s="470" t="s">
        <v>370</v>
      </c>
      <c r="L11" s="471"/>
      <c r="M11" s="359">
        <v>9027.32</v>
      </c>
      <c r="N11" s="387" t="s">
        <v>289</v>
      </c>
      <c r="P11" s="358" t="s">
        <v>368</v>
      </c>
      <c r="Q11" s="287"/>
      <c r="R11" s="470" t="s">
        <v>370</v>
      </c>
      <c r="S11" s="471"/>
      <c r="T11" s="359">
        <v>7608.45</v>
      </c>
      <c r="U11" s="387" t="s">
        <v>289</v>
      </c>
      <c r="X11" s="531" t="s">
        <v>306</v>
      </c>
      <c r="Y11" s="532"/>
      <c r="Z11" s="532"/>
      <c r="AA11" s="532"/>
      <c r="AB11" s="517"/>
      <c r="AC11" s="367">
        <f>(AC7*AA7)+(AC9*AA9)</f>
        <v>446.25366000000002</v>
      </c>
      <c r="AD11" s="368" t="s">
        <v>307</v>
      </c>
      <c r="AE11" s="382"/>
    </row>
    <row r="12" spans="2:31" ht="15" thickBot="1" x14ac:dyDescent="0.35">
      <c r="B12" s="358" t="s">
        <v>369</v>
      </c>
      <c r="C12" s="287"/>
      <c r="D12" s="470" t="s">
        <v>371</v>
      </c>
      <c r="E12" s="471"/>
      <c r="F12" s="359">
        <v>1624.77</v>
      </c>
      <c r="G12" s="387" t="s">
        <v>289</v>
      </c>
      <c r="I12" s="358" t="s">
        <v>369</v>
      </c>
      <c r="J12" s="287"/>
      <c r="K12" s="470" t="s">
        <v>371</v>
      </c>
      <c r="L12" s="471"/>
      <c r="M12" s="359">
        <v>4272.58</v>
      </c>
      <c r="N12" s="387" t="s">
        <v>289</v>
      </c>
      <c r="P12" s="358" t="s">
        <v>369</v>
      </c>
      <c r="Q12" s="287"/>
      <c r="R12" s="470" t="s">
        <v>371</v>
      </c>
      <c r="S12" s="471"/>
      <c r="T12" s="359">
        <v>9027.32</v>
      </c>
      <c r="U12" s="387" t="s">
        <v>289</v>
      </c>
      <c r="X12" s="533" t="s">
        <v>308</v>
      </c>
      <c r="Y12" s="534"/>
      <c r="Z12" s="534"/>
      <c r="AA12" s="534"/>
      <c r="AB12" s="535"/>
      <c r="AC12" s="369">
        <f>((AC11/7)*30)</f>
        <v>1912.5156857142858</v>
      </c>
      <c r="AD12" s="370" t="s">
        <v>307</v>
      </c>
    </row>
    <row r="13" spans="2:31" ht="15" thickBot="1" x14ac:dyDescent="0.35">
      <c r="B13" s="478" t="s">
        <v>377</v>
      </c>
      <c r="C13" s="479"/>
      <c r="D13" s="479"/>
      <c r="E13" s="480"/>
      <c r="F13" s="388">
        <f>SUM(F5:F12)/1000</f>
        <v>46.105939999999997</v>
      </c>
      <c r="G13" s="389" t="s">
        <v>18</v>
      </c>
      <c r="I13" s="478" t="s">
        <v>377</v>
      </c>
      <c r="J13" s="479"/>
      <c r="K13" s="479"/>
      <c r="L13" s="480"/>
      <c r="M13" s="388">
        <f>SUM(M5:M12)/1000</f>
        <v>52.173859999999998</v>
      </c>
      <c r="N13" s="389" t="s">
        <v>18</v>
      </c>
      <c r="P13" s="358" t="s">
        <v>373</v>
      </c>
      <c r="Q13" s="287"/>
      <c r="R13" s="470" t="s">
        <v>374</v>
      </c>
      <c r="S13" s="471"/>
      <c r="T13" s="412">
        <v>4272.58</v>
      </c>
      <c r="U13" s="387" t="s">
        <v>289</v>
      </c>
      <c r="X13" s="500"/>
      <c r="Y13" s="501"/>
      <c r="Z13" s="501"/>
      <c r="AA13" s="501"/>
      <c r="AB13" s="501"/>
      <c r="AC13" s="501"/>
      <c r="AD13" s="502"/>
    </row>
    <row r="14" spans="2:31" ht="15" customHeight="1" thickBot="1" x14ac:dyDescent="0.35">
      <c r="B14" s="472"/>
      <c r="C14" s="473"/>
      <c r="D14" s="473"/>
      <c r="E14" s="473"/>
      <c r="F14" s="473"/>
      <c r="G14" s="474"/>
      <c r="I14" s="472"/>
      <c r="J14" s="473"/>
      <c r="K14" s="473"/>
      <c r="L14" s="473"/>
      <c r="M14" s="473"/>
      <c r="N14" s="474"/>
      <c r="P14" s="478" t="s">
        <v>377</v>
      </c>
      <c r="Q14" s="479"/>
      <c r="R14" s="479"/>
      <c r="S14" s="480"/>
      <c r="T14" s="388">
        <f>SUM(T5:T13)/1000</f>
        <v>67.123709999999988</v>
      </c>
      <c r="U14" s="389" t="s">
        <v>18</v>
      </c>
      <c r="X14" s="503"/>
      <c r="Y14" s="504"/>
      <c r="Z14" s="504"/>
      <c r="AA14" s="504"/>
      <c r="AB14" s="504"/>
      <c r="AC14" s="504"/>
      <c r="AD14" s="505"/>
    </row>
    <row r="15" spans="2:31" ht="15.75" customHeight="1" thickBot="1" x14ac:dyDescent="0.35">
      <c r="B15" s="390"/>
      <c r="C15" s="390"/>
      <c r="D15" s="390"/>
      <c r="E15" s="390"/>
      <c r="F15" s="391"/>
      <c r="G15" s="385"/>
      <c r="I15" s="390"/>
      <c r="J15" s="390"/>
      <c r="K15" s="390"/>
      <c r="L15" s="390"/>
      <c r="M15" s="391"/>
      <c r="N15" s="385"/>
      <c r="P15" s="472"/>
      <c r="Q15" s="473"/>
      <c r="R15" s="473"/>
      <c r="S15" s="473"/>
      <c r="T15" s="473"/>
      <c r="U15" s="474"/>
      <c r="X15" s="506" t="s">
        <v>364</v>
      </c>
      <c r="Y15" s="507"/>
      <c r="Z15" s="508"/>
      <c r="AA15" s="508"/>
      <c r="AB15" s="508"/>
      <c r="AC15" s="508"/>
      <c r="AD15" s="509"/>
    </row>
    <row r="16" spans="2:31" ht="15.75" customHeight="1" thickBot="1" x14ac:dyDescent="0.35">
      <c r="B16" s="475" t="s">
        <v>378</v>
      </c>
      <c r="C16" s="476"/>
      <c r="D16" s="476"/>
      <c r="E16" s="476"/>
      <c r="F16" s="476"/>
      <c r="G16" s="477"/>
      <c r="I16" s="475" t="s">
        <v>378</v>
      </c>
      <c r="J16" s="476"/>
      <c r="K16" s="476"/>
      <c r="L16" s="476"/>
      <c r="M16" s="476"/>
      <c r="N16" s="477"/>
      <c r="P16" s="390"/>
      <c r="Q16" s="390"/>
      <c r="R16" s="390"/>
      <c r="S16" s="390"/>
      <c r="T16" s="391"/>
      <c r="U16" s="385"/>
      <c r="X16" s="510" t="s">
        <v>320</v>
      </c>
      <c r="Y16" s="528" t="s">
        <v>362</v>
      </c>
      <c r="Z16" s="512" t="s">
        <v>302</v>
      </c>
      <c r="AA16" s="512" t="s">
        <v>303</v>
      </c>
      <c r="AB16" s="512"/>
      <c r="AC16" s="512" t="s">
        <v>385</v>
      </c>
      <c r="AD16" s="514" t="s">
        <v>287</v>
      </c>
    </row>
    <row r="17" spans="2:31" ht="15" thickBot="1" x14ac:dyDescent="0.35">
      <c r="B17" s="467"/>
      <c r="C17" s="468"/>
      <c r="D17" s="468"/>
      <c r="E17" s="468"/>
      <c r="F17" s="468"/>
      <c r="G17" s="469"/>
      <c r="I17" s="467"/>
      <c r="J17" s="468"/>
      <c r="K17" s="468"/>
      <c r="L17" s="468"/>
      <c r="M17" s="468"/>
      <c r="N17" s="469"/>
      <c r="P17" s="475" t="s">
        <v>378</v>
      </c>
      <c r="Q17" s="476"/>
      <c r="R17" s="476"/>
      <c r="S17" s="476"/>
      <c r="T17" s="476"/>
      <c r="U17" s="477"/>
      <c r="X17" s="511"/>
      <c r="Y17" s="529"/>
      <c r="Z17" s="513"/>
      <c r="AA17" s="536"/>
      <c r="AB17" s="536"/>
      <c r="AC17" s="513"/>
      <c r="AD17" s="515"/>
    </row>
    <row r="18" spans="2:31" ht="15.75" customHeight="1" thickBot="1" x14ac:dyDescent="0.35">
      <c r="B18" s="484" t="s">
        <v>379</v>
      </c>
      <c r="C18" s="485"/>
      <c r="D18" s="485"/>
      <c r="E18" s="485"/>
      <c r="F18" s="485"/>
      <c r="G18" s="486"/>
      <c r="I18" s="484" t="s">
        <v>379</v>
      </c>
      <c r="J18" s="485"/>
      <c r="K18" s="485"/>
      <c r="L18" s="485"/>
      <c r="M18" s="485"/>
      <c r="N18" s="486"/>
      <c r="P18" s="467"/>
      <c r="Q18" s="468"/>
      <c r="R18" s="468"/>
      <c r="S18" s="468"/>
      <c r="T18" s="468"/>
      <c r="U18" s="469"/>
      <c r="X18" s="383" t="s">
        <v>383</v>
      </c>
      <c r="Y18" s="381" t="s">
        <v>339</v>
      </c>
      <c r="Z18" s="362" t="s">
        <v>406</v>
      </c>
      <c r="AA18" s="363">
        <v>1</v>
      </c>
      <c r="AB18" s="364" t="s">
        <v>305</v>
      </c>
      <c r="AC18" s="365">
        <f>T26</f>
        <v>188.02370999999999</v>
      </c>
      <c r="AD18" s="366" t="s">
        <v>18</v>
      </c>
    </row>
    <row r="19" spans="2:31" ht="15" customHeight="1" thickBot="1" x14ac:dyDescent="0.35">
      <c r="B19" s="487" t="s">
        <v>321</v>
      </c>
      <c r="C19" s="488"/>
      <c r="D19" s="488"/>
      <c r="E19" s="488"/>
      <c r="F19" s="488"/>
      <c r="G19" s="489"/>
      <c r="I19" s="487" t="s">
        <v>361</v>
      </c>
      <c r="J19" s="488"/>
      <c r="K19" s="488"/>
      <c r="L19" s="488"/>
      <c r="M19" s="488"/>
      <c r="N19" s="489"/>
      <c r="P19" s="484" t="s">
        <v>379</v>
      </c>
      <c r="Q19" s="485"/>
      <c r="R19" s="485"/>
      <c r="S19" s="485"/>
      <c r="T19" s="485"/>
      <c r="U19" s="486"/>
      <c r="X19" s="496"/>
      <c r="Y19" s="497"/>
      <c r="Z19" s="497"/>
      <c r="AA19" s="498"/>
      <c r="AB19" s="498"/>
      <c r="AC19" s="497"/>
      <c r="AD19" s="499"/>
    </row>
    <row r="20" spans="2:31" x14ac:dyDescent="0.3">
      <c r="B20" s="481" t="s">
        <v>384</v>
      </c>
      <c r="C20" s="482"/>
      <c r="D20" s="482"/>
      <c r="E20" s="483"/>
      <c r="F20" s="360">
        <v>1.9</v>
      </c>
      <c r="G20" s="387" t="s">
        <v>18</v>
      </c>
      <c r="I20" s="481" t="s">
        <v>384</v>
      </c>
      <c r="J20" s="482"/>
      <c r="K20" s="482"/>
      <c r="L20" s="483"/>
      <c r="M20" s="360">
        <v>1.9</v>
      </c>
      <c r="N20" s="387" t="s">
        <v>18</v>
      </c>
      <c r="P20" s="487" t="s">
        <v>383</v>
      </c>
      <c r="Q20" s="488"/>
      <c r="R20" s="488"/>
      <c r="S20" s="488"/>
      <c r="T20" s="488"/>
      <c r="U20" s="489"/>
      <c r="X20" s="516" t="s">
        <v>306</v>
      </c>
      <c r="Y20" s="517"/>
      <c r="Z20" s="518"/>
      <c r="AA20" s="518"/>
      <c r="AB20" s="518"/>
      <c r="AC20" s="367">
        <f>(AA18*AC18)</f>
        <v>188.02370999999999</v>
      </c>
      <c r="AD20" s="368" t="s">
        <v>307</v>
      </c>
    </row>
    <row r="21" spans="2:31" ht="15" thickBot="1" x14ac:dyDescent="0.35">
      <c r="B21" s="481" t="s">
        <v>380</v>
      </c>
      <c r="C21" s="482"/>
      <c r="D21" s="482"/>
      <c r="E21" s="483"/>
      <c r="F21" s="360">
        <f>F13</f>
        <v>46.105939999999997</v>
      </c>
      <c r="G21" s="387" t="s">
        <v>18</v>
      </c>
      <c r="I21" s="481" t="s">
        <v>380</v>
      </c>
      <c r="J21" s="482"/>
      <c r="K21" s="482"/>
      <c r="L21" s="483"/>
      <c r="M21" s="360">
        <f>M13</f>
        <v>52.173859999999998</v>
      </c>
      <c r="N21" s="387" t="s">
        <v>18</v>
      </c>
      <c r="P21" s="481" t="s">
        <v>384</v>
      </c>
      <c r="Q21" s="482"/>
      <c r="R21" s="482"/>
      <c r="S21" s="483"/>
      <c r="T21" s="360">
        <v>1.9</v>
      </c>
      <c r="U21" s="387" t="s">
        <v>18</v>
      </c>
      <c r="X21" s="493" t="s">
        <v>308</v>
      </c>
      <c r="Y21" s="494"/>
      <c r="Z21" s="495"/>
      <c r="AA21" s="495"/>
      <c r="AB21" s="495"/>
      <c r="AC21" s="410">
        <f>((AC20/7)*30)</f>
        <v>805.81590000000006</v>
      </c>
      <c r="AD21" s="371" t="s">
        <v>307</v>
      </c>
    </row>
    <row r="22" spans="2:31" x14ac:dyDescent="0.3">
      <c r="B22" s="481" t="s">
        <v>394</v>
      </c>
      <c r="C22" s="482"/>
      <c r="D22" s="482"/>
      <c r="E22" s="483"/>
      <c r="F22" s="360">
        <v>47.4</v>
      </c>
      <c r="G22" s="387" t="s">
        <v>18</v>
      </c>
      <c r="I22" s="481" t="s">
        <v>394</v>
      </c>
      <c r="J22" s="482"/>
      <c r="K22" s="482"/>
      <c r="L22" s="483"/>
      <c r="M22" s="360">
        <v>47.4</v>
      </c>
      <c r="N22" s="387" t="s">
        <v>18</v>
      </c>
      <c r="P22" s="481" t="s">
        <v>380</v>
      </c>
      <c r="Q22" s="482"/>
      <c r="R22" s="482"/>
      <c r="S22" s="483"/>
      <c r="T22" s="360">
        <f>T14</f>
        <v>67.123709999999988</v>
      </c>
      <c r="U22" s="387" t="s">
        <v>18</v>
      </c>
      <c r="AE22" s="409"/>
    </row>
    <row r="23" spans="2:31" x14ac:dyDescent="0.3">
      <c r="B23" s="481" t="s">
        <v>395</v>
      </c>
      <c r="C23" s="482"/>
      <c r="D23" s="482"/>
      <c r="E23" s="483"/>
      <c r="F23" s="360">
        <v>49.3</v>
      </c>
      <c r="G23" s="387" t="s">
        <v>18</v>
      </c>
      <c r="I23" s="481" t="s">
        <v>395</v>
      </c>
      <c r="J23" s="482"/>
      <c r="K23" s="482"/>
      <c r="L23" s="483"/>
      <c r="M23" s="360">
        <v>49.3</v>
      </c>
      <c r="N23" s="387" t="s">
        <v>18</v>
      </c>
      <c r="P23" s="481" t="s">
        <v>381</v>
      </c>
      <c r="Q23" s="482"/>
      <c r="R23" s="482"/>
      <c r="S23" s="483"/>
      <c r="T23" s="360">
        <v>20.7</v>
      </c>
      <c r="U23" s="387" t="s">
        <v>18</v>
      </c>
    </row>
    <row r="24" spans="2:31" ht="15" thickBot="1" x14ac:dyDescent="0.35">
      <c r="B24" s="490" t="s">
        <v>322</v>
      </c>
      <c r="C24" s="491"/>
      <c r="D24" s="491"/>
      <c r="E24" s="492"/>
      <c r="F24" s="392">
        <f>SUM(F20:F23)</f>
        <v>144.70594</v>
      </c>
      <c r="G24" s="393" t="s">
        <v>18</v>
      </c>
      <c r="I24" s="490" t="s">
        <v>322</v>
      </c>
      <c r="J24" s="491"/>
      <c r="K24" s="491"/>
      <c r="L24" s="492"/>
      <c r="M24" s="392">
        <f>SUM(M20:M23)</f>
        <v>150.77386000000001</v>
      </c>
      <c r="N24" s="393" t="s">
        <v>18</v>
      </c>
      <c r="P24" s="481" t="s">
        <v>382</v>
      </c>
      <c r="Q24" s="482"/>
      <c r="R24" s="482"/>
      <c r="S24" s="483"/>
      <c r="T24" s="360">
        <v>49</v>
      </c>
      <c r="U24" s="387" t="s">
        <v>18</v>
      </c>
      <c r="AE24" s="409"/>
    </row>
    <row r="25" spans="2:31" ht="15.75" customHeight="1" thickBot="1" x14ac:dyDescent="0.35">
      <c r="B25" s="472"/>
      <c r="C25" s="473"/>
      <c r="D25" s="473"/>
      <c r="E25" s="473"/>
      <c r="F25" s="473"/>
      <c r="G25" s="474"/>
      <c r="I25" s="472"/>
      <c r="J25" s="473"/>
      <c r="K25" s="473"/>
      <c r="L25" s="473"/>
      <c r="M25" s="473"/>
      <c r="N25" s="474"/>
      <c r="P25" s="481" t="s">
        <v>395</v>
      </c>
      <c r="Q25" s="482"/>
      <c r="R25" s="482"/>
      <c r="S25" s="483"/>
      <c r="T25" s="360">
        <v>49.3</v>
      </c>
      <c r="U25" s="387" t="s">
        <v>18</v>
      </c>
      <c r="AC25" s="409"/>
    </row>
    <row r="26" spans="2:31" ht="15" thickBot="1" x14ac:dyDescent="0.35">
      <c r="P26" s="490" t="s">
        <v>322</v>
      </c>
      <c r="Q26" s="491"/>
      <c r="R26" s="491"/>
      <c r="S26" s="492"/>
      <c r="T26" s="392">
        <f>SUM(T21:T25)</f>
        <v>188.02370999999999</v>
      </c>
      <c r="U26" s="393" t="s">
        <v>18</v>
      </c>
      <c r="AE26" s="409"/>
    </row>
    <row r="27" spans="2:31" ht="15" thickBot="1" x14ac:dyDescent="0.35">
      <c r="P27" s="472"/>
      <c r="Q27" s="473"/>
      <c r="R27" s="473"/>
      <c r="S27" s="473"/>
      <c r="T27" s="473"/>
      <c r="U27" s="474"/>
    </row>
    <row r="28" spans="2:31" x14ac:dyDescent="0.3">
      <c r="M28" s="420"/>
      <c r="AE28" s="409"/>
    </row>
    <row r="29" spans="2:31" ht="15.75" customHeight="1" x14ac:dyDescent="0.3">
      <c r="AC29" s="420"/>
      <c r="AE29" s="409"/>
    </row>
    <row r="30" spans="2:31" x14ac:dyDescent="0.3">
      <c r="T30" s="420"/>
    </row>
    <row r="31" spans="2:31" ht="15.75" customHeight="1" x14ac:dyDescent="0.3"/>
    <row r="33" spans="20:29" ht="15.75" customHeight="1" x14ac:dyDescent="0.3">
      <c r="T33" s="420"/>
      <c r="AC33" s="420"/>
    </row>
    <row r="35" spans="20:29" ht="15" customHeight="1" x14ac:dyDescent="0.3"/>
    <row r="37" spans="20:29" x14ac:dyDescent="0.3">
      <c r="AC37" s="420"/>
    </row>
    <row r="39" spans="20:29" ht="15.75" customHeight="1" x14ac:dyDescent="0.3"/>
    <row r="41" spans="20:29" ht="15.75" customHeight="1" x14ac:dyDescent="0.3"/>
    <row r="52" spans="25:25" x14ac:dyDescent="0.3">
      <c r="Y52" s="384"/>
    </row>
  </sheetData>
  <mergeCells count="95">
    <mergeCell ref="P18:U18"/>
    <mergeCell ref="P19:U19"/>
    <mergeCell ref="P20:U20"/>
    <mergeCell ref="P21:S21"/>
    <mergeCell ref="P22:S22"/>
    <mergeCell ref="P23:S23"/>
    <mergeCell ref="P24:S24"/>
    <mergeCell ref="P25:S25"/>
    <mergeCell ref="P26:S26"/>
    <mergeCell ref="P27:U27"/>
    <mergeCell ref="R7:S7"/>
    <mergeCell ref="R8:S8"/>
    <mergeCell ref="R9:S9"/>
    <mergeCell ref="R10:S10"/>
    <mergeCell ref="R11:S11"/>
    <mergeCell ref="R12:S12"/>
    <mergeCell ref="R13:S13"/>
    <mergeCell ref="P14:S14"/>
    <mergeCell ref="P15:U15"/>
    <mergeCell ref="P17:U17"/>
    <mergeCell ref="I14:N14"/>
    <mergeCell ref="K10:L10"/>
    <mergeCell ref="I2:N2"/>
    <mergeCell ref="B3:G3"/>
    <mergeCell ref="I3:N3"/>
    <mergeCell ref="B2:G2"/>
    <mergeCell ref="D6:E6"/>
    <mergeCell ref="D4:E4"/>
    <mergeCell ref="K4:L4"/>
    <mergeCell ref="K8:L8"/>
    <mergeCell ref="K6:L6"/>
    <mergeCell ref="D8:E8"/>
    <mergeCell ref="D7:E7"/>
    <mergeCell ref="K7:L7"/>
    <mergeCell ref="P2:U2"/>
    <mergeCell ref="P3:U3"/>
    <mergeCell ref="R4:S4"/>
    <mergeCell ref="R5:S5"/>
    <mergeCell ref="R6:S6"/>
    <mergeCell ref="X4:AD4"/>
    <mergeCell ref="X2:AD2"/>
    <mergeCell ref="X3:AD3"/>
    <mergeCell ref="Y5:Y6"/>
    <mergeCell ref="Y16:Y17"/>
    <mergeCell ref="AD5:AD6"/>
    <mergeCell ref="X11:AB11"/>
    <mergeCell ref="X12:AB12"/>
    <mergeCell ref="AA16:AB17"/>
    <mergeCell ref="X5:X6"/>
    <mergeCell ref="Z5:Z6"/>
    <mergeCell ref="AA5:AB6"/>
    <mergeCell ref="AC5:AC6"/>
    <mergeCell ref="X10:AD10"/>
    <mergeCell ref="X8:AD8"/>
    <mergeCell ref="X21:AB21"/>
    <mergeCell ref="X19:AD19"/>
    <mergeCell ref="X13:AD14"/>
    <mergeCell ref="X15:AD15"/>
    <mergeCell ref="X16:X17"/>
    <mergeCell ref="Z16:Z17"/>
    <mergeCell ref="AC16:AC17"/>
    <mergeCell ref="AD16:AD17"/>
    <mergeCell ref="X20:AB20"/>
    <mergeCell ref="B25:G25"/>
    <mergeCell ref="I24:L24"/>
    <mergeCell ref="B24:E24"/>
    <mergeCell ref="I25:N25"/>
    <mergeCell ref="B21:E21"/>
    <mergeCell ref="I22:L22"/>
    <mergeCell ref="B22:E22"/>
    <mergeCell ref="I20:L20"/>
    <mergeCell ref="B18:G18"/>
    <mergeCell ref="B23:E23"/>
    <mergeCell ref="I21:L21"/>
    <mergeCell ref="B20:E20"/>
    <mergeCell ref="B19:G19"/>
    <mergeCell ref="I23:L23"/>
    <mergeCell ref="I18:N18"/>
    <mergeCell ref="I19:N19"/>
    <mergeCell ref="B17:G17"/>
    <mergeCell ref="D9:E9"/>
    <mergeCell ref="K9:L9"/>
    <mergeCell ref="D5:E5"/>
    <mergeCell ref="K5:L5"/>
    <mergeCell ref="D11:E11"/>
    <mergeCell ref="K11:L11"/>
    <mergeCell ref="K12:L12"/>
    <mergeCell ref="B14:G14"/>
    <mergeCell ref="B16:G16"/>
    <mergeCell ref="D10:E10"/>
    <mergeCell ref="I16:N16"/>
    <mergeCell ref="I17:N17"/>
    <mergeCell ref="D12:E12"/>
    <mergeCell ref="I13:L13"/>
    <mergeCell ref="B13:E13"/>
  </mergeCells>
  <pageMargins left="0.70866141732283472" right="0.70866141732283472" top="0.74803149606299213" bottom="0.74803149606299213" header="0.31496062992125984" footer="0.31496062992125984"/>
  <pageSetup paperSize="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6</vt:i4>
      </vt:variant>
    </vt:vector>
  </HeadingPairs>
  <TitlesOfParts>
    <vt:vector size="18" baseType="lpstr">
      <vt:lpstr>Resumo</vt:lpstr>
      <vt:lpstr>1. Coleta Orgânica e Seletiva</vt:lpstr>
      <vt:lpstr>2. Destino Final</vt:lpstr>
      <vt:lpstr>3.Enc Sociais</vt:lpstr>
      <vt:lpstr>4.BDI</vt:lpstr>
      <vt:lpstr>4.1.BDI Aterro</vt:lpstr>
      <vt:lpstr>5. Ton</vt:lpstr>
      <vt:lpstr>6. Horários</vt:lpstr>
      <vt:lpstr>7. Roteiros</vt:lpstr>
      <vt:lpstr>8. Depr</vt:lpstr>
      <vt:lpstr>9. Rem capital</vt:lpstr>
      <vt:lpstr>10. Dimens</vt:lpstr>
      <vt:lpstr>AbaDeprec</vt:lpstr>
      <vt:lpstr>AbaRemun</vt:lpstr>
      <vt:lpstr>'1. Coleta Orgânica e Seletiva'!Area_de_impressao</vt:lpstr>
      <vt:lpstr>'2. Destino Final'!Area_de_impressao</vt:lpstr>
      <vt:lpstr>'3.Enc Sociais'!Area_de_impressao</vt:lpstr>
      <vt:lpstr>'1. Coleta Orgânica e Seletiva'!Titulos_de_impressao</vt:lpstr>
    </vt:vector>
  </TitlesOfParts>
  <Company>dmlu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Custos Coleta e Transporte RSU</dc:title>
  <dc:creator>Flavia Burmeister Martins</dc:creator>
  <cp:lastModifiedBy>Agricultura</cp:lastModifiedBy>
  <cp:lastPrinted>2026-03-23T12:03:41Z</cp:lastPrinted>
  <dcterms:created xsi:type="dcterms:W3CDTF">2000-12-13T10:02:50Z</dcterms:created>
  <dcterms:modified xsi:type="dcterms:W3CDTF">2026-03-23T19:43:28Z</dcterms:modified>
</cp:coreProperties>
</file>